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quiry/Library/Mobile Documents/com~apple~CloudDocs/HEC/CAS/Voltalia/"/>
    </mc:Choice>
  </mc:AlternateContent>
  <xr:revisionPtr revIDLastSave="0" documentId="13_ncr:1_{034F1E71-275B-5342-957F-160093A72355}" xr6:coauthVersionLast="45" xr6:coauthVersionMax="45" xr10:uidLastSave="{00000000-0000-0000-0000-000000000000}"/>
  <bookViews>
    <workbookView xWindow="0" yWindow="460" windowWidth="28260" windowHeight="16480" tabRatio="744" xr2:uid="{00000000-000D-0000-FFFF-FFFF00000000}"/>
  </bookViews>
  <sheets>
    <sheet name="Anaf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" l="1"/>
  <c r="C139" i="1"/>
  <c r="D139" i="1"/>
  <c r="E139" i="1"/>
  <c r="F139" i="1"/>
  <c r="B141" i="1"/>
  <c r="C141" i="1"/>
  <c r="D141" i="1"/>
  <c r="E141" i="1"/>
  <c r="C142" i="1" l="1"/>
  <c r="C143" i="1" s="1"/>
  <c r="D142" i="1"/>
  <c r="D143" i="1" s="1"/>
  <c r="E142" i="1"/>
  <c r="B142" i="1"/>
  <c r="B143" i="1" s="1"/>
  <c r="F141" i="1"/>
  <c r="C107" i="1"/>
  <c r="B107" i="1"/>
  <c r="D107" i="1"/>
  <c r="E107" i="1"/>
  <c r="G11" i="1"/>
  <c r="B41" i="1" l="1"/>
  <c r="C49" i="1"/>
  <c r="B95" i="1" l="1"/>
  <c r="B92" i="1"/>
  <c r="B80" i="1" l="1"/>
  <c r="C80" i="1"/>
  <c r="D80" i="1"/>
  <c r="E80" i="1"/>
  <c r="K8" i="1"/>
  <c r="K9" i="1"/>
  <c r="K10" i="1"/>
  <c r="K11" i="1"/>
  <c r="K12" i="1"/>
  <c r="K15" i="1"/>
  <c r="K19" i="1"/>
  <c r="K21" i="1"/>
  <c r="K22" i="1"/>
  <c r="K23" i="1"/>
  <c r="K26" i="1"/>
  <c r="K28" i="1"/>
  <c r="J9" i="1"/>
  <c r="J10" i="1"/>
  <c r="J11" i="1"/>
  <c r="J12" i="1"/>
  <c r="J15" i="1"/>
  <c r="J16" i="1"/>
  <c r="J19" i="1"/>
  <c r="J21" i="1"/>
  <c r="J22" i="1"/>
  <c r="J23" i="1"/>
  <c r="J25" i="1"/>
  <c r="J26" i="1"/>
  <c r="J28" i="1"/>
  <c r="J8" i="1"/>
  <c r="I9" i="1"/>
  <c r="I10" i="1"/>
  <c r="I11" i="1"/>
  <c r="I12" i="1"/>
  <c r="I13" i="1"/>
  <c r="I15" i="1"/>
  <c r="I16" i="1"/>
  <c r="I21" i="1"/>
  <c r="I23" i="1"/>
  <c r="I25" i="1"/>
  <c r="I26" i="1"/>
  <c r="I28" i="1"/>
  <c r="I8" i="1"/>
  <c r="H10" i="1"/>
  <c r="H11" i="1"/>
  <c r="H12" i="1"/>
  <c r="H13" i="1"/>
  <c r="H15" i="1"/>
  <c r="H16" i="1"/>
  <c r="H21" i="1"/>
  <c r="H23" i="1"/>
  <c r="H25" i="1"/>
  <c r="H26" i="1"/>
  <c r="H28" i="1"/>
  <c r="H9" i="1"/>
  <c r="H8" i="1"/>
  <c r="C91" i="1"/>
  <c r="D91" i="1"/>
  <c r="E91" i="1"/>
  <c r="B69" i="1"/>
  <c r="B113" i="1" s="1"/>
  <c r="C69" i="1"/>
  <c r="C113" i="1" s="1"/>
  <c r="C78" i="1"/>
  <c r="C64" i="1"/>
  <c r="E64" i="1"/>
  <c r="B64" i="1"/>
  <c r="B77" i="1"/>
  <c r="C77" i="1"/>
  <c r="C22" i="1"/>
  <c r="I22" i="1" s="1"/>
  <c r="B22" i="1"/>
  <c r="H22" i="1" s="1"/>
  <c r="B17" i="1"/>
  <c r="H17" i="1" s="1"/>
  <c r="C17" i="1"/>
  <c r="I17" i="1" s="1"/>
  <c r="C19" i="1"/>
  <c r="I19" i="1" s="1"/>
  <c r="B19" i="1"/>
  <c r="H19" i="1" s="1"/>
  <c r="D83" i="1" l="1"/>
  <c r="C83" i="1"/>
  <c r="B83" i="1"/>
  <c r="E95" i="1"/>
  <c r="E92" i="1"/>
  <c r="D95" i="1"/>
  <c r="D92" i="1"/>
  <c r="C95" i="1"/>
  <c r="C92" i="1"/>
  <c r="D41" i="1"/>
  <c r="E41" i="1"/>
  <c r="B36" i="1"/>
  <c r="C36" i="1"/>
  <c r="D36" i="1"/>
  <c r="E36" i="1"/>
  <c r="E69" i="1"/>
  <c r="B79" i="1"/>
  <c r="C79" i="1"/>
  <c r="B73" i="1"/>
  <c r="B44" i="1" s="1"/>
  <c r="C73" i="1"/>
  <c r="D73" i="1"/>
  <c r="E73" i="1"/>
  <c r="E77" i="1"/>
  <c r="D77" i="1"/>
  <c r="B70" i="1"/>
  <c r="C70" i="1"/>
  <c r="D69" i="1"/>
  <c r="D78" i="1"/>
  <c r="E78" i="1"/>
  <c r="E82" i="1"/>
  <c r="E83" i="1" s="1"/>
  <c r="E67" i="1"/>
  <c r="D60" i="1"/>
  <c r="E25" i="1"/>
  <c r="K25" i="1" s="1"/>
  <c r="D17" i="1"/>
  <c r="J17" i="1" s="1"/>
  <c r="E17" i="1"/>
  <c r="K17" i="1" s="1"/>
  <c r="D13" i="1"/>
  <c r="J13" i="1" s="1"/>
  <c r="E16" i="1"/>
  <c r="B14" i="1"/>
  <c r="B93" i="1" s="1"/>
  <c r="C14" i="1"/>
  <c r="C93" i="1" s="1"/>
  <c r="D14" i="1"/>
  <c r="D64" i="1" l="1"/>
  <c r="E70" i="1"/>
  <c r="E113" i="1"/>
  <c r="D70" i="1"/>
  <c r="D39" i="1" s="1"/>
  <c r="D113" i="1"/>
  <c r="J14" i="1"/>
  <c r="D93" i="1"/>
  <c r="E79" i="1"/>
  <c r="E13" i="1"/>
  <c r="K16" i="1"/>
  <c r="D42" i="1"/>
  <c r="D44" i="1" s="1"/>
  <c r="B18" i="1"/>
  <c r="B136" i="1" s="1"/>
  <c r="H14" i="1"/>
  <c r="C18" i="1"/>
  <c r="C136" i="1" s="1"/>
  <c r="I14" i="1"/>
  <c r="C39" i="1"/>
  <c r="D79" i="1"/>
  <c r="E42" i="1"/>
  <c r="E44" i="1" s="1"/>
  <c r="B74" i="1"/>
  <c r="C42" i="1"/>
  <c r="C44" i="1" s="1"/>
  <c r="D18" i="1"/>
  <c r="D136" i="1" s="1"/>
  <c r="E39" i="1" l="1"/>
  <c r="D20" i="1"/>
  <c r="J18" i="1"/>
  <c r="C20" i="1"/>
  <c r="I18" i="1"/>
  <c r="E14" i="1"/>
  <c r="E93" i="1" s="1"/>
  <c r="K13" i="1"/>
  <c r="B20" i="1"/>
  <c r="H18" i="1"/>
  <c r="C94" i="1" l="1"/>
  <c r="C137" i="1"/>
  <c r="B94" i="1"/>
  <c r="B137" i="1"/>
  <c r="D94" i="1"/>
  <c r="D137" i="1"/>
  <c r="B24" i="1"/>
  <c r="H20" i="1"/>
  <c r="C24" i="1"/>
  <c r="I20" i="1"/>
  <c r="K14" i="1"/>
  <c r="E18" i="1"/>
  <c r="E136" i="1" s="1"/>
  <c r="D24" i="1"/>
  <c r="J20" i="1"/>
  <c r="B27" i="1" l="1"/>
  <c r="H24" i="1"/>
  <c r="D27" i="1"/>
  <c r="J24" i="1"/>
  <c r="C27" i="1"/>
  <c r="I24" i="1"/>
  <c r="E20" i="1"/>
  <c r="K18" i="1"/>
  <c r="E94" i="1" l="1"/>
  <c r="E137" i="1"/>
  <c r="C29" i="1"/>
  <c r="I29" i="1" s="1"/>
  <c r="I27" i="1"/>
  <c r="C35" i="1"/>
  <c r="C38" i="1" s="1"/>
  <c r="C40" i="1" s="1"/>
  <c r="C45" i="1" s="1"/>
  <c r="C48" i="1" s="1"/>
  <c r="C50" i="1" s="1"/>
  <c r="B29" i="1"/>
  <c r="H29" i="1" s="1"/>
  <c r="H27" i="1"/>
  <c r="B35" i="1"/>
  <c r="B38" i="1" s="1"/>
  <c r="B40" i="1" s="1"/>
  <c r="B45" i="1" s="1"/>
  <c r="B48" i="1" s="1"/>
  <c r="B50" i="1" s="1"/>
  <c r="E24" i="1"/>
  <c r="K20" i="1"/>
  <c r="J27" i="1"/>
  <c r="D29" i="1"/>
  <c r="J29" i="1" s="1"/>
  <c r="D35" i="1"/>
  <c r="D38" i="1" s="1"/>
  <c r="D40" i="1" s="1"/>
  <c r="D45" i="1" s="1"/>
  <c r="D48" i="1" s="1"/>
  <c r="D50" i="1" s="1"/>
  <c r="E27" i="1" l="1"/>
  <c r="K24" i="1"/>
  <c r="E102" i="1"/>
  <c r="K27" i="1" l="1"/>
  <c r="E29" i="1"/>
  <c r="K29" i="1" s="1"/>
  <c r="E35" i="1"/>
  <c r="E38" i="1" s="1"/>
  <c r="E40" i="1" s="1"/>
  <c r="E45" i="1" s="1"/>
  <c r="E48" i="1" s="1"/>
  <c r="E50" i="1" s="1"/>
  <c r="E128" i="1" l="1"/>
  <c r="F128" i="1" s="1"/>
  <c r="E7" i="1"/>
  <c r="E116" i="1" s="1"/>
  <c r="K7" i="1" l="1"/>
  <c r="E34" i="1"/>
  <c r="E98" i="1"/>
  <c r="D116" i="1"/>
  <c r="B116" i="1"/>
  <c r="D102" i="1"/>
  <c r="C102" i="1"/>
  <c r="B102" i="1"/>
  <c r="D98" i="1"/>
  <c r="D106" i="1" s="1"/>
  <c r="B98" i="1"/>
  <c r="B111" i="1" s="1"/>
  <c r="E90" i="1" l="1"/>
  <c r="E111" i="1"/>
  <c r="E106" i="1"/>
  <c r="E56" i="1"/>
  <c r="D90" i="1"/>
  <c r="D111" i="1"/>
  <c r="B106" i="1"/>
  <c r="B90" i="1"/>
  <c r="A34" i="1" l="1"/>
  <c r="B34" i="1"/>
  <c r="D34" i="1"/>
  <c r="D56" i="1" s="1"/>
  <c r="B108" i="1"/>
  <c r="C108" i="1"/>
  <c r="D108" i="1"/>
  <c r="A56" i="1"/>
  <c r="B56" i="1"/>
  <c r="G27" i="1" l="1"/>
  <c r="G28" i="1"/>
  <c r="G29" i="1"/>
  <c r="G9" i="1"/>
  <c r="G23" i="1"/>
  <c r="G20" i="1"/>
  <c r="G10" i="1"/>
  <c r="G5" i="1"/>
  <c r="H7" i="1"/>
  <c r="C7" i="1"/>
  <c r="J7" i="1"/>
  <c r="G8" i="1"/>
  <c r="G12" i="1"/>
  <c r="G13" i="1"/>
  <c r="G14" i="1"/>
  <c r="G15" i="1"/>
  <c r="G16" i="1"/>
  <c r="G17" i="1"/>
  <c r="G18" i="1"/>
  <c r="G19" i="1"/>
  <c r="G21" i="1"/>
  <c r="G22" i="1"/>
  <c r="G24" i="1"/>
  <c r="G25" i="1"/>
  <c r="D74" i="1" l="1"/>
  <c r="D119" i="1" s="1"/>
  <c r="B100" i="1"/>
  <c r="C101" i="1"/>
  <c r="B119" i="1"/>
  <c r="B99" i="1"/>
  <c r="D101" i="1"/>
  <c r="D99" i="1"/>
  <c r="C100" i="1"/>
  <c r="C122" i="1"/>
  <c r="D122" i="1"/>
  <c r="C116" i="1"/>
  <c r="C98" i="1"/>
  <c r="B101" i="1"/>
  <c r="B122" i="1"/>
  <c r="C74" i="1"/>
  <c r="C119" i="1" s="1"/>
  <c r="C99" i="1"/>
  <c r="D100" i="1"/>
  <c r="D84" i="1"/>
  <c r="B84" i="1"/>
  <c r="C34" i="1"/>
  <c r="C84" i="1"/>
  <c r="C52" i="1"/>
  <c r="D52" i="1"/>
  <c r="I7" i="1"/>
  <c r="D86" i="1" l="1"/>
  <c r="B86" i="1"/>
  <c r="C86" i="1"/>
  <c r="D87" i="1"/>
  <c r="C111" i="1"/>
  <c r="C106" i="1"/>
  <c r="C90" i="1"/>
  <c r="B87" i="1"/>
  <c r="C87" i="1"/>
  <c r="C56" i="1"/>
  <c r="E101" i="1" l="1"/>
  <c r="E99" i="1" l="1"/>
  <c r="E100" i="1"/>
  <c r="B112" i="1"/>
  <c r="D112" i="1"/>
  <c r="C112" i="1"/>
  <c r="E74" i="1" l="1"/>
  <c r="E119" i="1" s="1"/>
  <c r="E108" i="1"/>
  <c r="D125" i="1"/>
  <c r="B125" i="1"/>
  <c r="B121" i="1" s="1"/>
  <c r="C125" i="1"/>
  <c r="E52" i="1" l="1"/>
  <c r="E112" i="1"/>
  <c r="B117" i="1"/>
  <c r="B120" i="1" s="1"/>
  <c r="C123" i="1"/>
  <c r="B123" i="1"/>
  <c r="D121" i="1"/>
  <c r="D123" i="1"/>
  <c r="D117" i="1"/>
  <c r="D120" i="1" s="1"/>
  <c r="C117" i="1"/>
  <c r="C120" i="1" s="1"/>
  <c r="C121" i="1"/>
  <c r="B124" i="1" l="1"/>
  <c r="C53" i="1"/>
  <c r="D53" i="1"/>
  <c r="B53" i="1"/>
  <c r="B133" i="1"/>
  <c r="D133" i="1"/>
  <c r="D135" i="1" s="1"/>
  <c r="C124" i="1"/>
  <c r="C133" i="1"/>
  <c r="C135" i="1" s="1"/>
  <c r="D124" i="1"/>
  <c r="B134" i="1" l="1"/>
  <c r="B135" i="1"/>
  <c r="E125" i="1"/>
  <c r="E121" i="1" s="1"/>
  <c r="C140" i="1"/>
  <c r="C134" i="1"/>
  <c r="D140" i="1"/>
  <c r="D134" i="1"/>
  <c r="B140" i="1"/>
  <c r="E117" i="1" l="1"/>
  <c r="E120" i="1" s="1"/>
  <c r="E53" i="1" l="1"/>
  <c r="E133" i="1"/>
  <c r="E135" i="1" s="1"/>
  <c r="E140" i="1" l="1"/>
  <c r="E134" i="1"/>
  <c r="E123" i="1"/>
  <c r="E124" i="1" s="1"/>
  <c r="E143" i="1"/>
  <c r="E122" i="1"/>
  <c r="E84" i="1"/>
  <c r="E86" i="1" l="1"/>
  <c r="E87" i="1"/>
</calcChain>
</file>

<file path=xl/sharedStrings.xml><?xml version="1.0" encoding="utf-8"?>
<sst xmlns="http://schemas.openxmlformats.org/spreadsheetml/2006/main" count="138" uniqueCount="120">
  <si>
    <t>Compte de résultat en %</t>
  </si>
  <si>
    <t>Chiffre d'affaires</t>
  </si>
  <si>
    <t>= Résultat avant impôt</t>
  </si>
  <si>
    <t>Tableau des flux de trésorerie</t>
  </si>
  <si>
    <t>+ Dotation aux amortissements</t>
  </si>
  <si>
    <t>= Capacité d’autofinancement</t>
  </si>
  <si>
    <t>= Flux d’exploitation (1)</t>
  </si>
  <si>
    <t>Flux de trésorerie disponible après charges financières (1)+(2)</t>
  </si>
  <si>
    <t>- Dividendes</t>
  </si>
  <si>
    <t>Bilan</t>
  </si>
  <si>
    <t>+ Immobilisations corporelles</t>
  </si>
  <si>
    <t>+ Immobilisations financières</t>
  </si>
  <si>
    <t>+ Clients</t>
  </si>
  <si>
    <t>- Fournisseurs</t>
  </si>
  <si>
    <t>+ Charges et produits sans incidence sur la trésorerie</t>
  </si>
  <si>
    <t>= Résultat d'exploitation</t>
  </si>
  <si>
    <t>Compte de résultat</t>
  </si>
  <si>
    <t>+ Eléments non récurrents</t>
  </si>
  <si>
    <t>= Valeur ajoutée</t>
  </si>
  <si>
    <t>- Trésorerie et équivalents de trésorerie</t>
  </si>
  <si>
    <t>+ Intérêts minoritaires</t>
  </si>
  <si>
    <t>Control</t>
  </si>
  <si>
    <t>- Variation du besoin en fonds de roulement d'exploitation</t>
  </si>
  <si>
    <t>Vérification</t>
  </si>
  <si>
    <t>= Besoin en fonds de roulement (2)</t>
  </si>
  <si>
    <t>+ Augmentation (réduction) de capital</t>
  </si>
  <si>
    <t>Dettes financières LT</t>
  </si>
  <si>
    <t>= Actifs immobilisés (1)</t>
  </si>
  <si>
    <t>Capitaux propres part du groupe</t>
  </si>
  <si>
    <t>+ Autres actifs d'exploitation</t>
  </si>
  <si>
    <t>- Autres dettes d'exploitation</t>
  </si>
  <si>
    <t>= Flux d'investissement (2)</t>
  </si>
  <si>
    <t>= Excédent brut d'exploitation</t>
  </si>
  <si>
    <t>+ Autres éléments financiers</t>
  </si>
  <si>
    <t xml:space="preserve"> </t>
  </si>
  <si>
    <t>Actifs hors exploitation</t>
  </si>
  <si>
    <t>+ Impôts différés passifs</t>
  </si>
  <si>
    <t>- Impôts différés actifs</t>
  </si>
  <si>
    <t>- Charges externes</t>
  </si>
  <si>
    <t xml:space="preserve">+/- Autres produits/ charges </t>
  </si>
  <si>
    <t xml:space="preserve">- Dotations aux amortissements </t>
  </si>
  <si>
    <t>= Endettement bancaire et financier net (5)</t>
  </si>
  <si>
    <t>- Intérêts minoritaires</t>
  </si>
  <si>
    <t>= Résultat net part du groupe</t>
  </si>
  <si>
    <t xml:space="preserve">- Charges de personnel </t>
  </si>
  <si>
    <t xml:space="preserve">+ Dettes financières CT </t>
  </si>
  <si>
    <t>Actif économique = (1)+(2)+(3)</t>
  </si>
  <si>
    <t>Résultat net de l'ensemble consolidé</t>
  </si>
  <si>
    <t xml:space="preserve">- Impôt sur les bénéfices </t>
  </si>
  <si>
    <t>= BFR hors exploitation (3)</t>
  </si>
  <si>
    <t>En % de la production</t>
  </si>
  <si>
    <t>Productivité en milliers d'euros, sauf effectifs</t>
  </si>
  <si>
    <t xml:space="preserve">Chiffre d'affaires / effectifs </t>
  </si>
  <si>
    <t>Valeur ajoutée / effectifs</t>
  </si>
  <si>
    <t xml:space="preserve">Résultat d'exploitation/effectif </t>
  </si>
  <si>
    <t>Salaire moyen y compris charges sociales patronales</t>
  </si>
  <si>
    <t>Rotation du BFR d'exploitation</t>
  </si>
  <si>
    <t>BFR d'exploitation / Chiffre d'affaires, en jours de chiffre d'affaires</t>
  </si>
  <si>
    <t>Délai clients en jours de CA</t>
  </si>
  <si>
    <t>Stocks en jours de CA</t>
  </si>
  <si>
    <t>Fournisseurs en jours d'achat et de services externes</t>
  </si>
  <si>
    <t>Taux de TVA</t>
  </si>
  <si>
    <t>Politique d'investissement</t>
  </si>
  <si>
    <t>Immo corporelles nettes hors terrain/ immobilisations corporelles brutes</t>
  </si>
  <si>
    <t>Investissements corporels / dotation aux amortissements</t>
  </si>
  <si>
    <t>Structure d'endettement</t>
  </si>
  <si>
    <t>Dettes bancaires et financières nettes/ EBE</t>
  </si>
  <si>
    <t>Actifs circulants / passifs circulants</t>
  </si>
  <si>
    <t>Rentabilités</t>
  </si>
  <si>
    <t xml:space="preserve">Résultat d'exploitation après impôt sur les sociétés / Chiffre d'affaires </t>
  </si>
  <si>
    <t>x</t>
  </si>
  <si>
    <t>Chiffre d'affaires / Actif économique hors filiales</t>
  </si>
  <si>
    <t>= Rentabilité économique après impôt</t>
  </si>
  <si>
    <t>Coût de la dette après impôt sur les sociétés</t>
  </si>
  <si>
    <t>Levier financier (Endettement bancaire et financier net / Capitaux propres)</t>
  </si>
  <si>
    <t>Rentabilité des capitaux propres après impôt</t>
  </si>
  <si>
    <t>Part de la rentabilité des capitaux propres expliquée par l'effet de levier</t>
  </si>
  <si>
    <t>Taux de croissance du BPA</t>
  </si>
  <si>
    <t>PER</t>
  </si>
  <si>
    <t>Multiple d'excédent brut d'exploitation</t>
  </si>
  <si>
    <t>Multiple de résultat d'exploitation</t>
  </si>
  <si>
    <t>Dividende par action en EUR</t>
  </si>
  <si>
    <t>Rendement en %</t>
  </si>
  <si>
    <t>Taux de distribution en %</t>
  </si>
  <si>
    <t>Taux apparent d'impôt sur les sociétés</t>
  </si>
  <si>
    <t>Bénéfice net courant (part du groupe) par action en EUR</t>
  </si>
  <si>
    <t>Paramètres de valeur</t>
  </si>
  <si>
    <t>= Capitaux propres (4)</t>
  </si>
  <si>
    <t>Capitaux investis = (4)+(5)</t>
  </si>
  <si>
    <t>- Variation du besoin en fonds de roulement hors exploitation</t>
  </si>
  <si>
    <t>Cours le plus haut</t>
  </si>
  <si>
    <t>Cours le plus bas</t>
  </si>
  <si>
    <t>Dernier cours</t>
  </si>
  <si>
    <t>Effectifs consolidés moyens</t>
  </si>
  <si>
    <t>ANALYSE FINANCIERE - VOLTALIA</t>
  </si>
  <si>
    <t>En millions d'euros</t>
  </si>
  <si>
    <t xml:space="preserve">     dont Amérique Latine</t>
  </si>
  <si>
    <t xml:space="preserve">     dont Europe</t>
  </si>
  <si>
    <t xml:space="preserve">     dont Asie et Afrique</t>
  </si>
  <si>
    <t>- Achats et sous-traitance</t>
  </si>
  <si>
    <t>- Coût de la dette</t>
  </si>
  <si>
    <t>+ Résultats des sociétés mises en équivalence</t>
  </si>
  <si>
    <t>+ Goodwill</t>
  </si>
  <si>
    <t>Immobilisations incorporelles</t>
  </si>
  <si>
    <t>+ Titres mis en équivalence</t>
  </si>
  <si>
    <t>+ Autres actifs non courants</t>
  </si>
  <si>
    <t xml:space="preserve">- Passifs hors exploitation </t>
  </si>
  <si>
    <t>(Clôture des comptes le 31 décembre de chaque exercice- IFRS)</t>
  </si>
  <si>
    <t xml:space="preserve">- Impôts et taxes  </t>
  </si>
  <si>
    <t>+ Actifs destinés à être cédés</t>
  </si>
  <si>
    <t>= Réduction (augmentation) de l’endettement net après impact des variations de change</t>
  </si>
  <si>
    <t>= Réduction (augmentation) de l’endettement net à taux de change constant</t>
  </si>
  <si>
    <t>- Investissements industriels nets</t>
  </si>
  <si>
    <t>- Investissements financiers nets</t>
  </si>
  <si>
    <t>Impact des variations de change sur l'endettement net au bilan</t>
  </si>
  <si>
    <t xml:space="preserve">Stocks, encours et avances fournisseurs
</t>
  </si>
  <si>
    <t>Capitaux propres comptables part du groupe en millions d'EUR</t>
  </si>
  <si>
    <t>Capitalisation boursières  en millions d'EUR</t>
  </si>
  <si>
    <t>Capitalisation boursière /capitaux propres comptables part du groupe</t>
  </si>
  <si>
    <t>Nombre d'actions en millions, net des actions auto-détenues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</si>
</sst>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F_-;\-* #,##0.00\ _F_-;_-* &quot;-&quot;??\ _F_-;_-@_-"/>
    <numFmt numFmtId="165" formatCode="0.0%"/>
    <numFmt numFmtId="166" formatCode="#,##0\ _F"/>
    <numFmt numFmtId="167" formatCode="#,##0.000\ _F"/>
    <numFmt numFmtId="168" formatCode="#,##0_);\ \(#,##0\);&quot;-&quot;_);@_)"/>
    <numFmt numFmtId="169" formatCode="0.0000"/>
    <numFmt numFmtId="170" formatCode="0.0"/>
    <numFmt numFmtId="171" formatCode="_-* #,##0\ _F_-;\-* #,##0\ _F_-;_-* &quot;-&quot;??\ _F_-;_-@_-"/>
    <numFmt numFmtId="172" formatCode="#&quot;j&quot;\ "/>
    <numFmt numFmtId="173" formatCode="#,##0.00\ _F"/>
    <numFmt numFmtId="174" formatCode="#,##0.0\ _F"/>
    <numFmt numFmtId="176" formatCode="#,##0.0_);\ \(#,##0.0\);&quot;-&quot;_);@_)"/>
    <numFmt numFmtId="177" formatCode="_-* #,##0.0\ _F_-;\-* #,##0.0\ _F_-;_-* &quot;-&quot;??\ _F_-;_-@_-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0"/>
      <color indexed="57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0"/>
      <color indexed="5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1D4791"/>
        <bgColor rgb="FF000000"/>
      </patternFill>
    </fill>
    <fill>
      <patternFill patternType="solid">
        <fgColor rgb="FFE5EEFF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1D479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68" fontId="6" fillId="0" borderId="0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5" fillId="0" borderId="1" xfId="0" quotePrefix="1" applyFont="1" applyBorder="1" applyAlignment="1">
      <alignment vertical="center" wrapText="1"/>
    </xf>
    <xf numFmtId="0" fontId="5" fillId="0" borderId="0" xfId="0" quotePrefix="1" applyFont="1" applyBorder="1" applyAlignment="1">
      <alignment vertical="center" wrapText="1"/>
    </xf>
    <xf numFmtId="166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67" fontId="6" fillId="0" borderId="0" xfId="0" applyNumberFormat="1" applyFont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9" fontId="6" fillId="0" borderId="0" xfId="2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 wrapText="1"/>
    </xf>
    <xf numFmtId="168" fontId="9" fillId="0" borderId="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168" fontId="6" fillId="3" borderId="0" xfId="0" applyNumberFormat="1" applyFont="1" applyFill="1" applyBorder="1" applyAlignment="1">
      <alignment horizontal="center" vertical="center"/>
    </xf>
    <xf numFmtId="165" fontId="6" fillId="3" borderId="0" xfId="2" applyNumberFormat="1" applyFont="1" applyFill="1" applyBorder="1" applyAlignment="1">
      <alignment horizontal="center" vertical="center"/>
    </xf>
    <xf numFmtId="165" fontId="5" fillId="3" borderId="1" xfId="2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5" fillId="0" borderId="2" xfId="0" quotePrefix="1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quotePrefix="1" applyFont="1" applyBorder="1" applyAlignment="1">
      <alignment horizontal="justify" vertical="center" wrapText="1"/>
    </xf>
    <xf numFmtId="0" fontId="6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horizontal="justify" vertical="center" wrapText="1"/>
    </xf>
    <xf numFmtId="0" fontId="7" fillId="2" borderId="0" xfId="0" applyNumberFormat="1" applyFont="1" applyFill="1" applyBorder="1" applyAlignment="1">
      <alignment horizontal="center" vertical="center"/>
    </xf>
    <xf numFmtId="165" fontId="6" fillId="0" borderId="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9" fontId="6" fillId="0" borderId="0" xfId="2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66" fontId="6" fillId="0" borderId="0" xfId="0" quotePrefix="1" applyNumberFormat="1" applyFont="1" applyBorder="1" applyAlignment="1">
      <alignment vertical="center" wrapText="1"/>
    </xf>
    <xf numFmtId="168" fontId="6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1" fontId="6" fillId="0" borderId="0" xfId="1" applyNumberFormat="1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horizontal="center" vertical="center"/>
    </xf>
    <xf numFmtId="168" fontId="5" fillId="0" borderId="0" xfId="0" quotePrefix="1" applyNumberFormat="1" applyFont="1" applyFill="1" applyBorder="1" applyAlignment="1">
      <alignment horizontal="center" vertical="center"/>
    </xf>
    <xf numFmtId="165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1" fontId="6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168" fontId="1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168" fontId="5" fillId="0" borderId="0" xfId="0" applyNumberFormat="1" applyFont="1" applyFill="1" applyBorder="1" applyAlignment="1">
      <alignment horizontal="left" vertical="center"/>
    </xf>
    <xf numFmtId="168" fontId="6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quotePrefix="1" applyFont="1" applyFill="1" applyBorder="1" applyAlignment="1">
      <alignment vertical="center" wrapText="1"/>
    </xf>
    <xf numFmtId="165" fontId="5" fillId="0" borderId="1" xfId="2" quotePrefix="1" applyNumberFormat="1" applyFont="1" applyBorder="1" applyAlignment="1">
      <alignment vertical="center" wrapText="1"/>
    </xf>
    <xf numFmtId="165" fontId="6" fillId="0" borderId="1" xfId="2" quotePrefix="1" applyNumberFormat="1" applyFont="1" applyBorder="1" applyAlignment="1">
      <alignment vertical="center" wrapText="1"/>
    </xf>
    <xf numFmtId="165" fontId="5" fillId="0" borderId="1" xfId="2" quotePrefix="1" applyNumberFormat="1" applyFont="1" applyBorder="1" applyAlignment="1">
      <alignment horizontal="justify" vertical="center" wrapText="1"/>
    </xf>
    <xf numFmtId="165" fontId="6" fillId="0" borderId="0" xfId="2" quotePrefix="1" applyNumberFormat="1" applyFont="1" applyBorder="1" applyAlignment="1">
      <alignment vertical="center" wrapText="1"/>
    </xf>
    <xf numFmtId="0" fontId="7" fillId="2" borderId="3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172" fontId="6" fillId="3" borderId="0" xfId="0" applyNumberFormat="1" applyFont="1" applyFill="1" applyBorder="1" applyAlignment="1">
      <alignment horizontal="center" vertical="center"/>
    </xf>
    <xf numFmtId="165" fontId="6" fillId="3" borderId="2" xfId="2" applyNumberFormat="1" applyFont="1" applyFill="1" applyBorder="1" applyAlignment="1">
      <alignment horizontal="center" vertical="center"/>
    </xf>
    <xf numFmtId="9" fontId="6" fillId="3" borderId="0" xfId="2" applyNumberFormat="1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 vertical="center"/>
    </xf>
    <xf numFmtId="170" fontId="6" fillId="3" borderId="0" xfId="2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5" borderId="0" xfId="2" applyNumberFormat="1" applyFont="1" applyFill="1" applyBorder="1" applyAlignment="1">
      <alignment horizontal="center" vertical="center"/>
    </xf>
    <xf numFmtId="170" fontId="6" fillId="5" borderId="0" xfId="2" applyNumberFormat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165" fontId="5" fillId="5" borderId="1" xfId="2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9" fontId="6" fillId="4" borderId="0" xfId="2" applyNumberFormat="1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center" vertical="center"/>
    </xf>
    <xf numFmtId="166" fontId="6" fillId="7" borderId="0" xfId="0" applyNumberFormat="1" applyFont="1" applyFill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73" fontId="6" fillId="7" borderId="4" xfId="0" applyNumberFormat="1" applyFont="1" applyFill="1" applyBorder="1" applyAlignment="1">
      <alignment horizontal="center" vertical="center"/>
    </xf>
    <xf numFmtId="9" fontId="6" fillId="7" borderId="0" xfId="2" applyFont="1" applyFill="1" applyBorder="1" applyAlignment="1">
      <alignment horizontal="center" vertical="center"/>
    </xf>
    <xf numFmtId="174" fontId="6" fillId="7" borderId="0" xfId="0" applyNumberFormat="1" applyFont="1" applyFill="1" applyAlignment="1">
      <alignment horizontal="center" vertical="center"/>
    </xf>
    <xf numFmtId="165" fontId="6" fillId="7" borderId="0" xfId="0" applyNumberFormat="1" applyFont="1" applyFill="1" applyAlignment="1">
      <alignment horizontal="center" vertical="center"/>
    </xf>
    <xf numFmtId="174" fontId="6" fillId="7" borderId="2" xfId="0" applyNumberFormat="1" applyFont="1" applyFill="1" applyBorder="1" applyAlignment="1">
      <alignment horizontal="center" vertical="center"/>
    </xf>
    <xf numFmtId="173" fontId="6" fillId="7" borderId="0" xfId="0" applyNumberFormat="1" applyFont="1" applyFill="1" applyBorder="1" applyAlignment="1">
      <alignment horizontal="center" vertical="center"/>
    </xf>
    <xf numFmtId="166" fontId="6" fillId="7" borderId="0" xfId="0" applyNumberFormat="1" applyFont="1" applyFill="1" applyBorder="1" applyAlignment="1">
      <alignment horizontal="center" vertical="center"/>
    </xf>
    <xf numFmtId="0" fontId="12" fillId="0" borderId="0" xfId="0" quotePrefix="1" applyFont="1" applyBorder="1" applyAlignment="1">
      <alignment vertical="center" wrapText="1"/>
    </xf>
    <xf numFmtId="165" fontId="5" fillId="0" borderId="0" xfId="2" quotePrefix="1" applyNumberFormat="1" applyFont="1" applyBorder="1" applyAlignment="1">
      <alignment horizontal="justify" vertical="center" wrapText="1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9" fontId="6" fillId="7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171" fontId="0" fillId="0" borderId="0" xfId="1" applyNumberFormat="1" applyFont="1" applyFill="1" applyBorder="1" applyAlignment="1">
      <alignment horizontal="center" vertical="center"/>
    </xf>
    <xf numFmtId="0" fontId="6" fillId="0" borderId="4" xfId="0" quotePrefix="1" applyFont="1" applyBorder="1" applyAlignment="1">
      <alignment vertical="center" wrapText="1"/>
    </xf>
    <xf numFmtId="0" fontId="6" fillId="0" borderId="0" xfId="0" quotePrefix="1" applyFont="1" applyAlignment="1">
      <alignment vertical="center" wrapText="1"/>
    </xf>
    <xf numFmtId="176" fontId="5" fillId="3" borderId="0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center" vertical="center"/>
    </xf>
    <xf numFmtId="176" fontId="12" fillId="3" borderId="0" xfId="0" applyNumberFormat="1" applyFont="1" applyFill="1" applyBorder="1" applyAlignment="1">
      <alignment horizontal="right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12" fillId="3" borderId="4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6" fillId="3" borderId="0" xfId="2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5" fillId="3" borderId="1" xfId="0" quotePrefix="1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68" fontId="6" fillId="3" borderId="2" xfId="0" applyNumberFormat="1" applyFont="1" applyFill="1" applyBorder="1" applyAlignment="1">
      <alignment horizontal="center" vertical="center"/>
    </xf>
    <xf numFmtId="9" fontId="6" fillId="3" borderId="2" xfId="2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4" fontId="6" fillId="0" borderId="0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top" wrapText="1"/>
    </xf>
    <xf numFmtId="176" fontId="6" fillId="3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77" fontId="6" fillId="3" borderId="2" xfId="1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9" fontId="6" fillId="3" borderId="2" xfId="2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205C"/>
      <rgbColor rgb="00C6DAFF"/>
      <rgbColor rgb="00999999"/>
      <rgbColor rgb="005C86D0"/>
      <rgbColor rgb="00DDDDDD"/>
      <rgbColor rgb="001D4791"/>
      <rgbColor rgb="004D4D4D"/>
      <rgbColor rgb="00E5EEFF"/>
      <rgbColor rgb="0000205C"/>
      <rgbColor rgb="00C6DAFF"/>
      <rgbColor rgb="00999999"/>
      <rgbColor rgb="005C86D0"/>
      <rgbColor rgb="00DDDDDD"/>
      <rgbColor rgb="001D4791"/>
      <rgbColor rgb="004D4D4D"/>
      <rgbColor rgb="00E5EEFF"/>
      <rgbColor rgb="0000CCFF"/>
      <rgbColor rgb="00CCFFFF"/>
      <rgbColor rgb="00CCFFCC"/>
      <rgbColor rgb="00FFFFCC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59"/>
  <sheetViews>
    <sheetView showGridLines="0" tabSelected="1" topLeftCell="A108" zoomScale="120" zoomScaleNormal="120" workbookViewId="0">
      <selection activeCell="A111" sqref="A111:E126"/>
    </sheetView>
  </sheetViews>
  <sheetFormatPr baseColWidth="10" defaultColWidth="13.83203125" defaultRowHeight="23.25" customHeight="1" x14ac:dyDescent="0.15"/>
  <cols>
    <col min="1" max="1" width="85" style="4" customWidth="1"/>
    <col min="2" max="5" width="11.1640625" style="4" customWidth="1"/>
    <col min="6" max="6" width="9.1640625" style="45" customWidth="1"/>
    <col min="7" max="7" width="89.33203125" style="4" customWidth="1"/>
    <col min="8" max="10" width="10.33203125" style="4" customWidth="1"/>
    <col min="11" max="11" width="10.33203125" style="1" customWidth="1"/>
    <col min="12" max="16384" width="13.83203125" style="1"/>
  </cols>
  <sheetData>
    <row r="2" spans="1:11" ht="25" customHeight="1" x14ac:dyDescent="0.15">
      <c r="A2" s="30" t="s">
        <v>94</v>
      </c>
      <c r="B2" s="23"/>
    </row>
    <row r="3" spans="1:11" ht="23.25" customHeight="1" x14ac:dyDescent="0.15">
      <c r="H3" s="10"/>
    </row>
    <row r="4" spans="1:11" s="2" customFormat="1" ht="23.25" customHeight="1" x14ac:dyDescent="0.15">
      <c r="A4" s="3" t="s">
        <v>16</v>
      </c>
      <c r="B4" s="3"/>
      <c r="C4" s="3"/>
      <c r="D4" s="3"/>
      <c r="E4" s="3"/>
      <c r="F4" s="50"/>
      <c r="G4" s="3" t="s">
        <v>0</v>
      </c>
      <c r="H4" s="6"/>
      <c r="I4" s="3"/>
      <c r="J4" s="3"/>
    </row>
    <row r="5" spans="1:11" s="2" customFormat="1" ht="23.25" customHeight="1" x14ac:dyDescent="0.15">
      <c r="A5" s="3" t="s">
        <v>107</v>
      </c>
      <c r="B5" s="3"/>
      <c r="C5" s="3"/>
      <c r="D5" s="3"/>
      <c r="E5" s="3"/>
      <c r="F5" s="50"/>
      <c r="G5" s="3" t="str">
        <f>A5</f>
        <v>(Clôture des comptes le 31 décembre de chaque exercice- IFRS)</v>
      </c>
      <c r="H5" s="6"/>
      <c r="I5" s="3"/>
      <c r="J5" s="3"/>
    </row>
    <row r="6" spans="1:11" ht="24" customHeight="1" x14ac:dyDescent="0.15">
      <c r="A6" s="4" t="s">
        <v>34</v>
      </c>
      <c r="B6" s="33" t="s">
        <v>34</v>
      </c>
      <c r="H6" s="10"/>
    </row>
    <row r="7" spans="1:11" s="2" customFormat="1" ht="23.25" customHeight="1" x14ac:dyDescent="0.15">
      <c r="A7" s="5" t="s">
        <v>95</v>
      </c>
      <c r="B7" s="24">
        <v>2015</v>
      </c>
      <c r="C7" s="24">
        <f>1+B7</f>
        <v>2016</v>
      </c>
      <c r="D7" s="24">
        <v>2017</v>
      </c>
      <c r="E7" s="37">
        <f>D7+1</f>
        <v>2018</v>
      </c>
      <c r="F7" s="16"/>
      <c r="G7" s="5" t="s">
        <v>50</v>
      </c>
      <c r="H7" s="24">
        <f>B7</f>
        <v>2015</v>
      </c>
      <c r="I7" s="24">
        <f>C7</f>
        <v>2016</v>
      </c>
      <c r="J7" s="24">
        <f>D7</f>
        <v>2017</v>
      </c>
      <c r="K7" s="24">
        <f>E7</f>
        <v>2018</v>
      </c>
    </row>
    <row r="8" spans="1:11" ht="23.25" customHeight="1" x14ac:dyDescent="0.15">
      <c r="A8" s="39" t="s">
        <v>1</v>
      </c>
      <c r="B8" s="109">
        <v>58.564999999999998</v>
      </c>
      <c r="C8" s="109">
        <v>126.96599999999999</v>
      </c>
      <c r="D8" s="109">
        <v>181.18799999999999</v>
      </c>
      <c r="E8" s="109">
        <v>180.66</v>
      </c>
      <c r="F8" s="46"/>
      <c r="G8" s="7" t="str">
        <f t="shared" ref="G8:G29" si="0">A8</f>
        <v>Chiffre d'affaires</v>
      </c>
      <c r="H8" s="28">
        <f>B8/B$8</f>
        <v>1</v>
      </c>
      <c r="I8" s="28">
        <f>C8/C$8</f>
        <v>1</v>
      </c>
      <c r="J8" s="28">
        <f>D8/D$8</f>
        <v>1</v>
      </c>
      <c r="K8" s="28">
        <f>E8/E$8</f>
        <v>1</v>
      </c>
    </row>
    <row r="9" spans="1:11" ht="23.25" customHeight="1" x14ac:dyDescent="0.15">
      <c r="A9" s="100" t="s">
        <v>96</v>
      </c>
      <c r="B9" s="110">
        <v>43.295999999999999</v>
      </c>
      <c r="C9" s="110">
        <v>89.741</v>
      </c>
      <c r="D9" s="111">
        <v>125.4</v>
      </c>
      <c r="E9" s="111">
        <v>133.5</v>
      </c>
      <c r="F9" s="51"/>
      <c r="G9" s="26" t="str">
        <f t="shared" si="0"/>
        <v xml:space="preserve">     dont Amérique Latine</v>
      </c>
      <c r="H9" s="28">
        <f>B9/B$8</f>
        <v>0.7392811406129941</v>
      </c>
      <c r="I9" s="28">
        <f t="shared" ref="I9:I29" si="1">C9/C$8</f>
        <v>0.70681127230912211</v>
      </c>
      <c r="J9" s="28">
        <f t="shared" ref="J9:J29" si="2">D9/D$8</f>
        <v>0.69209881449102595</v>
      </c>
      <c r="K9" s="28">
        <f t="shared" ref="K9:K29" si="3">E9/E$8</f>
        <v>0.73895715709066756</v>
      </c>
    </row>
    <row r="10" spans="1:11" ht="23.25" customHeight="1" x14ac:dyDescent="0.15">
      <c r="A10" s="100" t="s">
        <v>97</v>
      </c>
      <c r="B10" s="110">
        <v>14.638999999999999</v>
      </c>
      <c r="C10" s="110">
        <v>31.626999999999999</v>
      </c>
      <c r="D10" s="111">
        <v>53.5</v>
      </c>
      <c r="E10" s="111">
        <v>42.7</v>
      </c>
      <c r="F10" s="51"/>
      <c r="G10" s="26" t="str">
        <f t="shared" si="0"/>
        <v xml:space="preserve">     dont Europe</v>
      </c>
      <c r="H10" s="28">
        <f t="shared" ref="H10:H29" si="4">B10/B$8</f>
        <v>0.24996158114915051</v>
      </c>
      <c r="I10" s="28">
        <f t="shared" si="1"/>
        <v>0.24909818376573256</v>
      </c>
      <c r="J10" s="28">
        <f t="shared" si="2"/>
        <v>0.29527341766562909</v>
      </c>
      <c r="K10" s="28">
        <f t="shared" si="3"/>
        <v>0.23635558507694013</v>
      </c>
    </row>
    <row r="11" spans="1:11" ht="23.25" customHeight="1" x14ac:dyDescent="0.15">
      <c r="A11" s="100" t="s">
        <v>98</v>
      </c>
      <c r="B11" s="110">
        <v>0</v>
      </c>
      <c r="C11" s="110">
        <v>5.5979999999999999</v>
      </c>
      <c r="D11" s="111">
        <v>1.7</v>
      </c>
      <c r="E11" s="111">
        <v>4.9000000000000004</v>
      </c>
      <c r="F11" s="51"/>
      <c r="G11" s="26" t="str">
        <f t="shared" si="0"/>
        <v xml:space="preserve">     dont Asie et Afrique</v>
      </c>
      <c r="H11" s="28">
        <f t="shared" si="4"/>
        <v>0</v>
      </c>
      <c r="I11" s="28">
        <f t="shared" si="1"/>
        <v>4.4090543925145317E-2</v>
      </c>
      <c r="J11" s="28">
        <f t="shared" si="2"/>
        <v>9.3825198136741946E-3</v>
      </c>
      <c r="K11" s="28">
        <f t="shared" si="3"/>
        <v>2.7122772058009524E-2</v>
      </c>
    </row>
    <row r="12" spans="1:11" ht="23.25" customHeight="1" x14ac:dyDescent="0.15">
      <c r="A12" s="107" t="s">
        <v>99</v>
      </c>
      <c r="B12" s="112">
        <v>8.57</v>
      </c>
      <c r="C12" s="112">
        <v>31.815000000000001</v>
      </c>
      <c r="D12" s="113">
        <v>37.701000000000001</v>
      </c>
      <c r="E12" s="113">
        <v>27.282</v>
      </c>
      <c r="F12" s="52"/>
      <c r="G12" s="26" t="str">
        <f t="shared" si="0"/>
        <v>- Achats et sous-traitance</v>
      </c>
      <c r="H12" s="28">
        <f t="shared" si="4"/>
        <v>0.1463331341244771</v>
      </c>
      <c r="I12" s="28">
        <f t="shared" si="1"/>
        <v>0.25057889513728088</v>
      </c>
      <c r="J12" s="28">
        <f t="shared" si="2"/>
        <v>0.20807669382078284</v>
      </c>
      <c r="K12" s="28">
        <f t="shared" si="3"/>
        <v>0.1510129525074726</v>
      </c>
    </row>
    <row r="13" spans="1:11" ht="23.25" customHeight="1" x14ac:dyDescent="0.15">
      <c r="A13" s="9" t="s">
        <v>38</v>
      </c>
      <c r="B13" s="110">
        <v>10.984999999999999</v>
      </c>
      <c r="C13" s="110">
        <v>23.111999999999998</v>
      </c>
      <c r="D13" s="110">
        <f>49.296-D16</f>
        <v>40.191000000000003</v>
      </c>
      <c r="E13" s="110">
        <f>54.873-E16</f>
        <v>44.097999999999999</v>
      </c>
      <c r="F13" s="8"/>
      <c r="G13" s="9" t="str">
        <f t="shared" si="0"/>
        <v>- Charges externes</v>
      </c>
      <c r="H13" s="28">
        <f t="shared" si="4"/>
        <v>0.18756936736958935</v>
      </c>
      <c r="I13" s="28">
        <f t="shared" si="1"/>
        <v>0.18203298520863853</v>
      </c>
      <c r="J13" s="28">
        <f t="shared" si="2"/>
        <v>0.22181932578316449</v>
      </c>
      <c r="K13" s="28">
        <f t="shared" si="3"/>
        <v>0.24409387800287832</v>
      </c>
    </row>
    <row r="14" spans="1:11" ht="23.25" customHeight="1" x14ac:dyDescent="0.15">
      <c r="A14" s="11" t="s">
        <v>18</v>
      </c>
      <c r="B14" s="114">
        <f t="shared" ref="B14:D14" si="5">B8-B12-B13</f>
        <v>39.01</v>
      </c>
      <c r="C14" s="114">
        <f t="shared" si="5"/>
        <v>72.039000000000001</v>
      </c>
      <c r="D14" s="114">
        <f t="shared" si="5"/>
        <v>103.29599999999999</v>
      </c>
      <c r="E14" s="114">
        <f>E8-E12-E13</f>
        <v>109.27999999999999</v>
      </c>
      <c r="F14" s="47"/>
      <c r="G14" s="11" t="str">
        <f t="shared" si="0"/>
        <v>= Valeur ajoutée</v>
      </c>
      <c r="H14" s="29">
        <f t="shared" si="4"/>
        <v>0.66609749850593358</v>
      </c>
      <c r="I14" s="29">
        <f t="shared" si="1"/>
        <v>0.56738811965408065</v>
      </c>
      <c r="J14" s="29">
        <f t="shared" si="2"/>
        <v>0.5701039803960527</v>
      </c>
      <c r="K14" s="29">
        <f t="shared" si="3"/>
        <v>0.604893169489649</v>
      </c>
    </row>
    <row r="15" spans="1:11" ht="23.25" customHeight="1" x14ac:dyDescent="0.15">
      <c r="A15" s="9" t="s">
        <v>44</v>
      </c>
      <c r="B15" s="115">
        <v>4.93</v>
      </c>
      <c r="C15" s="115">
        <v>12.039</v>
      </c>
      <c r="D15" s="115">
        <v>21.437999999999999</v>
      </c>
      <c r="E15" s="115">
        <v>20.384</v>
      </c>
      <c r="F15" s="43"/>
      <c r="G15" s="9" t="str">
        <f t="shared" si="0"/>
        <v xml:space="preserve">- Charges de personnel </v>
      </c>
      <c r="H15" s="28">
        <f t="shared" si="4"/>
        <v>8.4179970972423801E-2</v>
      </c>
      <c r="I15" s="28">
        <f t="shared" si="1"/>
        <v>9.4820660649307692E-2</v>
      </c>
      <c r="J15" s="28">
        <f t="shared" si="2"/>
        <v>0.11831909397973375</v>
      </c>
      <c r="K15" s="28">
        <f t="shared" si="3"/>
        <v>0.11283073176131961</v>
      </c>
    </row>
    <row r="16" spans="1:11" ht="23.25" customHeight="1" x14ac:dyDescent="0.15">
      <c r="A16" s="9" t="s">
        <v>108</v>
      </c>
      <c r="B16" s="115">
        <v>3.0459999999999998</v>
      </c>
      <c r="C16" s="115">
        <v>6.883</v>
      </c>
      <c r="D16" s="115">
        <v>9.1050000000000004</v>
      </c>
      <c r="E16" s="115">
        <f>10.775</f>
        <v>10.775</v>
      </c>
      <c r="F16" s="43"/>
      <c r="G16" s="9" t="str">
        <f t="shared" si="0"/>
        <v xml:space="preserve">- Impôts et taxes  </v>
      </c>
      <c r="H16" s="28">
        <f t="shared" si="4"/>
        <v>5.2010586527789636E-2</v>
      </c>
      <c r="I16" s="28">
        <f t="shared" si="1"/>
        <v>5.4211363672164205E-2</v>
      </c>
      <c r="J16" s="28">
        <f t="shared" si="2"/>
        <v>5.0251672296178558E-2</v>
      </c>
      <c r="K16" s="28">
        <f t="shared" si="3"/>
        <v>5.9642422229602574E-2</v>
      </c>
    </row>
    <row r="17" spans="1:11" ht="23.25" customHeight="1" x14ac:dyDescent="0.15">
      <c r="A17" s="9" t="s">
        <v>39</v>
      </c>
      <c r="B17" s="115">
        <f>-0.481-0.409</f>
        <v>-0.8899999999999999</v>
      </c>
      <c r="C17" s="115">
        <f>-3.096-2.64</f>
        <v>-5.7360000000000007</v>
      </c>
      <c r="D17" s="115">
        <f>-1.153+1.279</f>
        <v>0.12599999999999989</v>
      </c>
      <c r="E17" s="115">
        <f>-1.913+0.103</f>
        <v>-1.81</v>
      </c>
      <c r="F17" s="43"/>
      <c r="G17" s="9" t="str">
        <f t="shared" si="0"/>
        <v xml:space="preserve">+/- Autres produits/ charges </v>
      </c>
      <c r="H17" s="28">
        <f t="shared" si="4"/>
        <v>-1.5196789891573465E-2</v>
      </c>
      <c r="I17" s="28">
        <f t="shared" si="1"/>
        <v>-4.5177449080856302E-2</v>
      </c>
      <c r="J17" s="28">
        <f t="shared" si="2"/>
        <v>6.954102920723221E-4</v>
      </c>
      <c r="K17" s="28">
        <f t="shared" si="3"/>
        <v>-1.0018819882652496E-2</v>
      </c>
    </row>
    <row r="18" spans="1:11" ht="23.25" customHeight="1" x14ac:dyDescent="0.15">
      <c r="A18" s="11" t="s">
        <v>32</v>
      </c>
      <c r="B18" s="114">
        <f t="shared" ref="B18:D18" si="6">B14-B15-B16+B17</f>
        <v>30.143999999999998</v>
      </c>
      <c r="C18" s="114">
        <f t="shared" si="6"/>
        <v>47.381</v>
      </c>
      <c r="D18" s="114">
        <f t="shared" si="6"/>
        <v>72.878999999999991</v>
      </c>
      <c r="E18" s="114">
        <f>E14-E15-E16+E17</f>
        <v>76.310999999999979</v>
      </c>
      <c r="F18" s="47"/>
      <c r="G18" s="11" t="str">
        <f t="shared" si="0"/>
        <v>= Excédent brut d'exploitation</v>
      </c>
      <c r="H18" s="29">
        <f t="shared" si="4"/>
        <v>0.51471015111414664</v>
      </c>
      <c r="I18" s="29">
        <f t="shared" si="1"/>
        <v>0.37317864625175245</v>
      </c>
      <c r="J18" s="29">
        <f t="shared" si="2"/>
        <v>0.40222862441221269</v>
      </c>
      <c r="K18" s="29">
        <f t="shared" si="3"/>
        <v>0.42240119561607431</v>
      </c>
    </row>
    <row r="19" spans="1:11" ht="23.25" customHeight="1" x14ac:dyDescent="0.15">
      <c r="A19" s="9" t="s">
        <v>40</v>
      </c>
      <c r="B19" s="110">
        <f>10.714-2.789</f>
        <v>7.9250000000000007</v>
      </c>
      <c r="C19" s="110">
        <f>17.943-4.747</f>
        <v>13.196000000000002</v>
      </c>
      <c r="D19" s="110">
        <v>27.132000000000001</v>
      </c>
      <c r="E19" s="116">
        <v>29.077999999999999</v>
      </c>
      <c r="F19" s="44"/>
      <c r="G19" s="9" t="str">
        <f t="shared" si="0"/>
        <v xml:space="preserve">- Dotations aux amortissements </v>
      </c>
      <c r="H19" s="28">
        <f t="shared" si="4"/>
        <v>0.13531973021429183</v>
      </c>
      <c r="I19" s="28">
        <f t="shared" si="1"/>
        <v>0.10393333648378307</v>
      </c>
      <c r="J19" s="28">
        <f t="shared" si="2"/>
        <v>0.14974501622624017</v>
      </c>
      <c r="K19" s="28">
        <f t="shared" si="3"/>
        <v>0.16095427875567364</v>
      </c>
    </row>
    <row r="20" spans="1:11" ht="23.25" customHeight="1" x14ac:dyDescent="0.15">
      <c r="A20" s="11" t="s">
        <v>15</v>
      </c>
      <c r="B20" s="114">
        <f t="shared" ref="B20:C20" si="7">B18-B19</f>
        <v>22.218999999999998</v>
      </c>
      <c r="C20" s="114">
        <f t="shared" si="7"/>
        <v>34.185000000000002</v>
      </c>
      <c r="D20" s="114">
        <f>D18-D19</f>
        <v>45.746999999999986</v>
      </c>
      <c r="E20" s="114">
        <f>E18-E19</f>
        <v>47.232999999999976</v>
      </c>
      <c r="F20" s="47"/>
      <c r="G20" s="11" t="str">
        <f t="shared" si="0"/>
        <v>= Résultat d'exploitation</v>
      </c>
      <c r="H20" s="29">
        <f t="shared" si="4"/>
        <v>0.37939042089985486</v>
      </c>
      <c r="I20" s="29">
        <f t="shared" si="1"/>
        <v>0.2692453097679694</v>
      </c>
      <c r="J20" s="29">
        <f t="shared" si="2"/>
        <v>0.25248360818597254</v>
      </c>
      <c r="K20" s="29">
        <f t="shared" si="3"/>
        <v>0.26144691686040061</v>
      </c>
    </row>
    <row r="21" spans="1:11" ht="23.25" customHeight="1" x14ac:dyDescent="0.15">
      <c r="A21" s="9" t="s">
        <v>100</v>
      </c>
      <c r="B21" s="110">
        <v>17.73</v>
      </c>
      <c r="C21" s="110">
        <v>32.085000000000001</v>
      </c>
      <c r="D21" s="110">
        <v>34.360999999999997</v>
      </c>
      <c r="E21" s="110">
        <v>32.020000000000003</v>
      </c>
      <c r="G21" s="9" t="str">
        <f t="shared" si="0"/>
        <v>- Coût de la dette</v>
      </c>
      <c r="H21" s="28">
        <f t="shared" si="4"/>
        <v>0.30274054469392986</v>
      </c>
      <c r="I21" s="28">
        <f t="shared" si="1"/>
        <v>0.25270544870280237</v>
      </c>
      <c r="J21" s="28">
        <f t="shared" si="2"/>
        <v>0.18964280195156411</v>
      </c>
      <c r="K21" s="28">
        <f t="shared" si="3"/>
        <v>0.17723901250968674</v>
      </c>
    </row>
    <row r="22" spans="1:11" ht="23.25" customHeight="1" x14ac:dyDescent="0.15">
      <c r="A22" s="9" t="s">
        <v>33</v>
      </c>
      <c r="B22" s="110">
        <f>3.493-0.606</f>
        <v>2.887</v>
      </c>
      <c r="C22" s="110">
        <f>3.543-0.498</f>
        <v>3.0449999999999999</v>
      </c>
      <c r="D22" s="110">
        <v>-2.1240000000000001</v>
      </c>
      <c r="E22" s="110">
        <v>2.0760000000000001</v>
      </c>
      <c r="G22" s="9" t="str">
        <f t="shared" si="0"/>
        <v>+ Autres éléments financiers</v>
      </c>
      <c r="H22" s="28">
        <f t="shared" si="4"/>
        <v>4.9295654401092806E-2</v>
      </c>
      <c r="I22" s="28">
        <f t="shared" si="1"/>
        <v>2.3982798544492225E-2</v>
      </c>
      <c r="J22" s="28">
        <f t="shared" si="2"/>
        <v>-1.1722630637790584E-2</v>
      </c>
      <c r="K22" s="28">
        <f t="shared" si="3"/>
        <v>1.1491198937230157E-2</v>
      </c>
    </row>
    <row r="23" spans="1:11" ht="23.25" customHeight="1" x14ac:dyDescent="0.15">
      <c r="A23" s="9" t="s">
        <v>17</v>
      </c>
      <c r="B23" s="110">
        <v>7.9000000000000001E-2</v>
      </c>
      <c r="C23" s="110">
        <v>0</v>
      </c>
      <c r="D23" s="110">
        <v>0</v>
      </c>
      <c r="E23" s="110">
        <v>0</v>
      </c>
      <c r="G23" s="9" t="str">
        <f t="shared" si="0"/>
        <v>+ Eléments non récurrents</v>
      </c>
      <c r="H23" s="28">
        <f t="shared" si="4"/>
        <v>1.34892854093742E-3</v>
      </c>
      <c r="I23" s="28">
        <f t="shared" si="1"/>
        <v>0</v>
      </c>
      <c r="J23" s="28">
        <f t="shared" si="2"/>
        <v>0</v>
      </c>
      <c r="K23" s="28">
        <f t="shared" si="3"/>
        <v>0</v>
      </c>
    </row>
    <row r="24" spans="1:11" ht="23.25" customHeight="1" x14ac:dyDescent="0.15">
      <c r="A24" s="11" t="s">
        <v>2</v>
      </c>
      <c r="B24" s="114">
        <f t="shared" ref="B24" si="8">B20-B21+B22+B23</f>
        <v>7.4549999999999974</v>
      </c>
      <c r="C24" s="114">
        <f t="shared" ref="C24" si="9">C20-C21+C22+C23</f>
        <v>5.1450000000000014</v>
      </c>
      <c r="D24" s="114">
        <f t="shared" ref="D24" si="10">D20-D21+D22+D23</f>
        <v>9.261999999999988</v>
      </c>
      <c r="E24" s="114">
        <f>E20-E21+E22+E23</f>
        <v>17.288999999999973</v>
      </c>
      <c r="F24" s="47"/>
      <c r="G24" s="11" t="str">
        <f t="shared" si="0"/>
        <v>= Résultat avant impôt</v>
      </c>
      <c r="H24" s="29">
        <f t="shared" si="4"/>
        <v>0.12729445914795523</v>
      </c>
      <c r="I24" s="29">
        <f t="shared" si="1"/>
        <v>4.0522659609659291E-2</v>
      </c>
      <c r="J24" s="29">
        <f t="shared" si="2"/>
        <v>5.1118175596617813E-2</v>
      </c>
      <c r="K24" s="29">
        <f t="shared" si="3"/>
        <v>9.5699103287944051E-2</v>
      </c>
    </row>
    <row r="25" spans="1:11" ht="23.25" customHeight="1" x14ac:dyDescent="0.15">
      <c r="A25" s="9" t="s">
        <v>48</v>
      </c>
      <c r="B25" s="110">
        <v>2.996</v>
      </c>
      <c r="C25" s="110">
        <v>4.58</v>
      </c>
      <c r="D25" s="110">
        <v>5.97</v>
      </c>
      <c r="E25" s="110">
        <f>11.48</f>
        <v>11.48</v>
      </c>
      <c r="F25" s="46"/>
      <c r="G25" s="71" t="str">
        <f t="shared" si="0"/>
        <v xml:space="preserve">- Impôt sur les bénéfices </v>
      </c>
      <c r="H25" s="28">
        <f t="shared" si="4"/>
        <v>5.1156834286690003E-2</v>
      </c>
      <c r="I25" s="28">
        <f t="shared" si="1"/>
        <v>3.6072649370697672E-2</v>
      </c>
      <c r="J25" s="28">
        <f t="shared" si="2"/>
        <v>3.2949201933902911E-2</v>
      </c>
      <c r="K25" s="28">
        <f t="shared" si="3"/>
        <v>6.3544780250193736E-2</v>
      </c>
    </row>
    <row r="26" spans="1:11" ht="23.25" customHeight="1" x14ac:dyDescent="0.15">
      <c r="A26" s="9" t="s">
        <v>101</v>
      </c>
      <c r="B26" s="110">
        <v>9.0999999999999998E-2</v>
      </c>
      <c r="C26" s="110">
        <v>2.4E-2</v>
      </c>
      <c r="D26" s="110">
        <v>0.20300000000000001</v>
      </c>
      <c r="E26" s="110">
        <v>0.151</v>
      </c>
      <c r="F26" s="46"/>
      <c r="G26" s="71" t="str">
        <f>A26</f>
        <v>+ Résultats des sociétés mises en équivalence</v>
      </c>
      <c r="H26" s="28">
        <f t="shared" si="4"/>
        <v>1.5538290788013318E-3</v>
      </c>
      <c r="I26" s="28">
        <f t="shared" si="1"/>
        <v>1.8902698360190919E-4</v>
      </c>
      <c r="J26" s="28">
        <f t="shared" si="2"/>
        <v>1.1203832483387423E-3</v>
      </c>
      <c r="K26" s="28">
        <f t="shared" si="3"/>
        <v>8.358242001549873E-4</v>
      </c>
    </row>
    <row r="27" spans="1:11" ht="23.25" customHeight="1" x14ac:dyDescent="0.15">
      <c r="A27" s="11" t="s">
        <v>47</v>
      </c>
      <c r="B27" s="114">
        <f t="shared" ref="B27:D27" si="11">B24-B25+B26</f>
        <v>4.549999999999998</v>
      </c>
      <c r="C27" s="114">
        <f t="shared" si="11"/>
        <v>0.5890000000000013</v>
      </c>
      <c r="D27" s="114">
        <f t="shared" si="11"/>
        <v>3.4949999999999881</v>
      </c>
      <c r="E27" s="114">
        <f>E24-E25+E26</f>
        <v>5.9599999999999724</v>
      </c>
      <c r="F27" s="47"/>
      <c r="G27" s="68" t="str">
        <f t="shared" si="0"/>
        <v>Résultat net de l'ensemble consolidé</v>
      </c>
      <c r="H27" s="29">
        <f t="shared" si="4"/>
        <v>7.769145394006656E-2</v>
      </c>
      <c r="I27" s="29">
        <f t="shared" si="1"/>
        <v>4.6390372225635313E-3</v>
      </c>
      <c r="J27" s="29">
        <f t="shared" si="2"/>
        <v>1.9289356911053646E-2</v>
      </c>
      <c r="K27" s="29">
        <f t="shared" si="3"/>
        <v>3.2990147237905304E-2</v>
      </c>
    </row>
    <row r="28" spans="1:11" ht="22" customHeight="1" x14ac:dyDescent="0.15">
      <c r="A28" s="35" t="s">
        <v>42</v>
      </c>
      <c r="B28" s="116">
        <v>0.66200000000000003</v>
      </c>
      <c r="C28" s="116">
        <v>-1.0580000000000001</v>
      </c>
      <c r="D28" s="116">
        <v>2.9289999999999998</v>
      </c>
      <c r="E28" s="116">
        <v>-2.5649999999999999</v>
      </c>
      <c r="G28" s="69" t="str">
        <f t="shared" si="0"/>
        <v>- Intérêts minoritaires</v>
      </c>
      <c r="H28" s="28">
        <f t="shared" si="4"/>
        <v>1.130367967215914E-2</v>
      </c>
      <c r="I28" s="28">
        <f t="shared" si="1"/>
        <v>-8.3329395271174965E-3</v>
      </c>
      <c r="J28" s="28">
        <f t="shared" si="2"/>
        <v>1.6165529726030421E-2</v>
      </c>
      <c r="K28" s="28">
        <f t="shared" si="3"/>
        <v>-1.4197940883427433E-2</v>
      </c>
    </row>
    <row r="29" spans="1:11" ht="20.25" customHeight="1" x14ac:dyDescent="0.15">
      <c r="A29" s="36" t="s">
        <v>43</v>
      </c>
      <c r="B29" s="114">
        <f t="shared" ref="B29:C29" si="12">B27-B28</f>
        <v>3.8879999999999981</v>
      </c>
      <c r="C29" s="114">
        <f t="shared" si="12"/>
        <v>1.6470000000000014</v>
      </c>
      <c r="D29" s="114">
        <f>D27-D28</f>
        <v>0.56599999999998829</v>
      </c>
      <c r="E29" s="114">
        <f>E27-E28</f>
        <v>8.5249999999999719</v>
      </c>
      <c r="F29" s="17"/>
      <c r="G29" s="70" t="str">
        <f t="shared" si="0"/>
        <v>= Résultat net part du groupe</v>
      </c>
      <c r="H29" s="29">
        <f t="shared" si="4"/>
        <v>6.6387774267907429E-2</v>
      </c>
      <c r="I29" s="29">
        <f t="shared" si="1"/>
        <v>1.2971976749681029E-2</v>
      </c>
      <c r="J29" s="29">
        <f t="shared" si="2"/>
        <v>3.1238271850232264E-3</v>
      </c>
      <c r="K29" s="29">
        <f t="shared" si="3"/>
        <v>4.7188088121332739E-2</v>
      </c>
    </row>
    <row r="30" spans="1:11" ht="20.25" customHeight="1" x14ac:dyDescent="0.15">
      <c r="A30" s="34"/>
      <c r="B30" s="47"/>
      <c r="C30" s="47"/>
      <c r="D30" s="47"/>
      <c r="E30" s="47"/>
      <c r="F30" s="17"/>
      <c r="G30" s="101"/>
      <c r="H30" s="49"/>
      <c r="I30" s="49"/>
      <c r="J30" s="49"/>
    </row>
    <row r="31" spans="1:11" ht="20.25" customHeight="1" x14ac:dyDescent="0.15">
      <c r="A31" s="108"/>
      <c r="B31" s="13"/>
      <c r="C31" s="13"/>
      <c r="D31" s="13"/>
      <c r="E31" s="13"/>
      <c r="F31" s="17"/>
      <c r="G31" s="42"/>
      <c r="H31" s="10"/>
    </row>
    <row r="32" spans="1:11" ht="23.25" customHeight="1" x14ac:dyDescent="0.15">
      <c r="A32" s="3" t="s">
        <v>3</v>
      </c>
      <c r="B32" s="15"/>
      <c r="C32" s="15"/>
      <c r="D32" s="15"/>
      <c r="E32" s="15"/>
      <c r="F32" s="8"/>
      <c r="K32" s="4"/>
    </row>
    <row r="33" spans="1:11" ht="23.25" customHeight="1" x14ac:dyDescent="0.15">
      <c r="A33" s="14"/>
      <c r="F33" s="8"/>
      <c r="G33" s="1"/>
      <c r="H33" s="1"/>
      <c r="I33" s="1"/>
      <c r="J33" s="1"/>
    </row>
    <row r="34" spans="1:11" ht="23.25" customHeight="1" x14ac:dyDescent="0.15">
      <c r="A34" s="5" t="str">
        <f>A7</f>
        <v>En millions d'euros</v>
      </c>
      <c r="B34" s="24">
        <f>B7</f>
        <v>2015</v>
      </c>
      <c r="C34" s="24">
        <f>C7</f>
        <v>2016</v>
      </c>
      <c r="D34" s="24">
        <f>D7</f>
        <v>2017</v>
      </c>
      <c r="E34" s="24">
        <f>E7</f>
        <v>2018</v>
      </c>
      <c r="G34" s="1"/>
      <c r="H34" s="1"/>
      <c r="I34" s="1"/>
      <c r="J34" s="1"/>
    </row>
    <row r="35" spans="1:11" ht="23.25" customHeight="1" x14ac:dyDescent="0.15">
      <c r="A35" s="7" t="s">
        <v>47</v>
      </c>
      <c r="B35" s="110">
        <f t="shared" ref="B35:D35" si="13">B27</f>
        <v>4.549999999999998</v>
      </c>
      <c r="C35" s="110">
        <f t="shared" si="13"/>
        <v>0.5890000000000013</v>
      </c>
      <c r="D35" s="110">
        <f t="shared" si="13"/>
        <v>3.4949999999999881</v>
      </c>
      <c r="E35" s="110">
        <f>E27</f>
        <v>5.9599999999999724</v>
      </c>
      <c r="F35" s="47"/>
      <c r="G35" s="1"/>
      <c r="H35" s="1"/>
      <c r="I35" s="1"/>
      <c r="J35" s="1"/>
    </row>
    <row r="36" spans="1:11" ht="23.25" customHeight="1" x14ac:dyDescent="0.15">
      <c r="A36" s="9" t="s">
        <v>4</v>
      </c>
      <c r="B36" s="110">
        <f t="shared" ref="B36:D36" si="14">B19</f>
        <v>7.9250000000000007</v>
      </c>
      <c r="C36" s="110">
        <f t="shared" si="14"/>
        <v>13.196000000000002</v>
      </c>
      <c r="D36" s="110">
        <f t="shared" si="14"/>
        <v>27.132000000000001</v>
      </c>
      <c r="E36" s="110">
        <f>E19</f>
        <v>29.077999999999999</v>
      </c>
      <c r="F36" s="8"/>
      <c r="G36" s="1"/>
      <c r="H36" s="1"/>
      <c r="I36" s="1"/>
      <c r="J36" s="1"/>
    </row>
    <row r="37" spans="1:11" ht="23.25" customHeight="1" x14ac:dyDescent="0.15">
      <c r="A37" s="9" t="s">
        <v>14</v>
      </c>
      <c r="B37" s="110">
        <v>2</v>
      </c>
      <c r="C37" s="110">
        <v>-1.6</v>
      </c>
      <c r="D37" s="110">
        <v>16.600000000000001</v>
      </c>
      <c r="E37" s="110">
        <v>8.4</v>
      </c>
      <c r="F37" s="47"/>
      <c r="G37" s="1"/>
      <c r="H37" s="1"/>
      <c r="I37" s="1"/>
      <c r="J37" s="1"/>
    </row>
    <row r="38" spans="1:11" ht="23.25" customHeight="1" x14ac:dyDescent="0.15">
      <c r="A38" s="11" t="s">
        <v>5</v>
      </c>
      <c r="B38" s="114">
        <f t="shared" ref="B38:D38" si="15">B35+B36+B37</f>
        <v>14.474999999999998</v>
      </c>
      <c r="C38" s="114">
        <f t="shared" si="15"/>
        <v>12.185000000000004</v>
      </c>
      <c r="D38" s="114">
        <f t="shared" si="15"/>
        <v>47.22699999999999</v>
      </c>
      <c r="E38" s="114">
        <f>E35+E36+E37</f>
        <v>43.437999999999967</v>
      </c>
      <c r="G38" s="1"/>
      <c r="H38" s="1"/>
      <c r="I38" s="1"/>
      <c r="J38" s="1"/>
    </row>
    <row r="39" spans="1:11" ht="23.25" customHeight="1" x14ac:dyDescent="0.15">
      <c r="A39" s="9" t="s">
        <v>22</v>
      </c>
      <c r="B39" s="110">
        <v>-16.3</v>
      </c>
      <c r="C39" s="110">
        <f>(C70)-(B70)</f>
        <v>-16.163000000000007</v>
      </c>
      <c r="D39" s="110">
        <f>(D70)-(C70)</f>
        <v>28.548000000000002</v>
      </c>
      <c r="E39" s="110">
        <f>(E70)-(D70)</f>
        <v>0.67700000000001737</v>
      </c>
      <c r="G39" s="1"/>
      <c r="H39" s="1"/>
      <c r="I39" s="1"/>
      <c r="J39" s="1"/>
    </row>
    <row r="40" spans="1:11" ht="23.25" customHeight="1" x14ac:dyDescent="0.15">
      <c r="A40" s="11" t="s">
        <v>6</v>
      </c>
      <c r="B40" s="114">
        <f t="shared" ref="B40:D40" si="16">B38-B39</f>
        <v>30.774999999999999</v>
      </c>
      <c r="C40" s="114">
        <f t="shared" si="16"/>
        <v>28.348000000000013</v>
      </c>
      <c r="D40" s="114">
        <f t="shared" si="16"/>
        <v>18.678999999999988</v>
      </c>
      <c r="E40" s="114">
        <f>E38-E39</f>
        <v>42.760999999999953</v>
      </c>
      <c r="G40" s="1"/>
      <c r="H40" s="1"/>
      <c r="I40" s="1"/>
      <c r="J40" s="1"/>
    </row>
    <row r="41" spans="1:11" ht="23.25" customHeight="1" x14ac:dyDescent="0.15">
      <c r="A41" s="9" t="s">
        <v>112</v>
      </c>
      <c r="B41" s="110">
        <f>192.577-0.7</f>
        <v>191.87700000000001</v>
      </c>
      <c r="C41" s="110">
        <v>131.56299999999999</v>
      </c>
      <c r="D41" s="110">
        <f>61.604+18.8</f>
        <v>80.403999999999996</v>
      </c>
      <c r="E41" s="110">
        <f>72.164+32.946</f>
        <v>105.11</v>
      </c>
      <c r="G41" s="1"/>
      <c r="H41" s="1"/>
      <c r="I41" s="1"/>
      <c r="J41" s="1"/>
    </row>
    <row r="42" spans="1:11" ht="23.25" customHeight="1" x14ac:dyDescent="0.15">
      <c r="A42" s="9" t="s">
        <v>89</v>
      </c>
      <c r="B42" s="110">
        <v>0</v>
      </c>
      <c r="C42" s="110">
        <f>C73-B73</f>
        <v>0</v>
      </c>
      <c r="D42" s="110">
        <f>D73-C73</f>
        <v>6.7569999999999997</v>
      </c>
      <c r="E42" s="110">
        <f>E73-D73</f>
        <v>-3.7019999999999995</v>
      </c>
      <c r="F42" s="48"/>
      <c r="G42" s="1"/>
      <c r="H42" s="1"/>
      <c r="I42" s="1"/>
      <c r="J42" s="1"/>
    </row>
    <row r="43" spans="1:11" ht="23.25" customHeight="1" x14ac:dyDescent="0.15">
      <c r="A43" s="9" t="s">
        <v>113</v>
      </c>
      <c r="B43" s="110">
        <v>2.5</v>
      </c>
      <c r="C43" s="110">
        <v>71.599999999999994</v>
      </c>
      <c r="D43" s="110">
        <v>-0.39300000000000002</v>
      </c>
      <c r="E43" s="110">
        <v>4.13</v>
      </c>
      <c r="F43" s="47"/>
      <c r="G43" s="1"/>
      <c r="H43" s="1"/>
      <c r="I43" s="1"/>
      <c r="J43" s="1"/>
    </row>
    <row r="44" spans="1:11" ht="23.25" customHeight="1" x14ac:dyDescent="0.15">
      <c r="A44" s="11" t="s">
        <v>31</v>
      </c>
      <c r="B44" s="117">
        <f>B41+B42+B43</f>
        <v>194.37700000000001</v>
      </c>
      <c r="C44" s="117">
        <f>C41+C42+C43</f>
        <v>203.16299999999998</v>
      </c>
      <c r="D44" s="117">
        <f>D41+D42+D43</f>
        <v>86.768000000000001</v>
      </c>
      <c r="E44" s="117">
        <f>E41+E42+E43</f>
        <v>105.538</v>
      </c>
      <c r="F44" s="8"/>
      <c r="G44" s="1"/>
      <c r="H44" s="1"/>
      <c r="I44" s="1"/>
      <c r="J44" s="1"/>
    </row>
    <row r="45" spans="1:11" ht="23.25" customHeight="1" x14ac:dyDescent="0.15">
      <c r="A45" s="18" t="s">
        <v>7</v>
      </c>
      <c r="B45" s="114">
        <f>B40-B44</f>
        <v>-163.602</v>
      </c>
      <c r="C45" s="114">
        <f>C40-C44</f>
        <v>-174.81499999999997</v>
      </c>
      <c r="D45" s="114">
        <f>D40-D44</f>
        <v>-68.089000000000013</v>
      </c>
      <c r="E45" s="114">
        <f>E40-E44</f>
        <v>-62.777000000000044</v>
      </c>
      <c r="F45" s="47"/>
      <c r="G45" s="1"/>
      <c r="H45" s="1"/>
      <c r="I45" s="1"/>
      <c r="J45" s="1"/>
    </row>
    <row r="46" spans="1:11" ht="23.25" customHeight="1" x14ac:dyDescent="0.15">
      <c r="A46" s="9" t="s">
        <v>25</v>
      </c>
      <c r="B46" s="110">
        <v>40.762999999999998</v>
      </c>
      <c r="C46" s="110">
        <v>164.84299999999999</v>
      </c>
      <c r="D46" s="110">
        <v>0</v>
      </c>
      <c r="E46" s="110">
        <v>7.6999999999999999E-2</v>
      </c>
      <c r="F46" s="22"/>
      <c r="G46" s="1"/>
      <c r="H46" s="1"/>
      <c r="I46" s="1"/>
      <c r="J46" s="1"/>
    </row>
    <row r="47" spans="1:11" ht="23.25" customHeight="1" x14ac:dyDescent="0.15">
      <c r="A47" s="9" t="s">
        <v>8</v>
      </c>
      <c r="B47" s="110">
        <v>0.08</v>
      </c>
      <c r="C47" s="110">
        <v>0.311</v>
      </c>
      <c r="D47" s="110">
        <v>2.976</v>
      </c>
      <c r="E47" s="110">
        <v>0</v>
      </c>
      <c r="F47" s="17"/>
      <c r="G47" s="105"/>
      <c r="H47" s="40"/>
      <c r="I47" s="40"/>
      <c r="J47" s="40"/>
      <c r="K47" s="106"/>
    </row>
    <row r="48" spans="1:11" s="2" customFormat="1" ht="23.25" customHeight="1" x14ac:dyDescent="0.15">
      <c r="A48" s="11" t="s">
        <v>111</v>
      </c>
      <c r="B48" s="114">
        <f>B45+B46-B47</f>
        <v>-122.919</v>
      </c>
      <c r="C48" s="114">
        <f>C45+C46-C47</f>
        <v>-10.28299999999998</v>
      </c>
      <c r="D48" s="114">
        <f>D45+D46-D47</f>
        <v>-71.065000000000012</v>
      </c>
      <c r="E48" s="114">
        <f>E45+E46-E47</f>
        <v>-62.700000000000045</v>
      </c>
      <c r="F48" s="53"/>
      <c r="G48" s="60"/>
      <c r="H48" s="40"/>
      <c r="I48" s="40"/>
      <c r="J48" s="40"/>
      <c r="K48" s="64"/>
    </row>
    <row r="49" spans="1:11" s="2" customFormat="1" ht="23.25" customHeight="1" x14ac:dyDescent="0.15">
      <c r="A49" s="35" t="s">
        <v>114</v>
      </c>
      <c r="B49" s="116">
        <v>44.5</v>
      </c>
      <c r="C49" s="116">
        <f>-60.6-7.9</f>
        <v>-68.5</v>
      </c>
      <c r="D49" s="116">
        <v>42.5</v>
      </c>
      <c r="E49" s="116">
        <v>28.4</v>
      </c>
      <c r="F49" s="53"/>
      <c r="G49" s="60"/>
      <c r="H49" s="40"/>
      <c r="I49" s="40"/>
      <c r="J49" s="40"/>
      <c r="K49" s="64"/>
    </row>
    <row r="50" spans="1:11" s="2" customFormat="1" ht="23.25" customHeight="1" x14ac:dyDescent="0.15">
      <c r="A50" s="31" t="s">
        <v>110</v>
      </c>
      <c r="B50" s="119">
        <f>B48+B49</f>
        <v>-78.418999999999997</v>
      </c>
      <c r="C50" s="119">
        <f>C48+C49</f>
        <v>-78.782999999999987</v>
      </c>
      <c r="D50" s="119">
        <f>D48+D49</f>
        <v>-28.565000000000012</v>
      </c>
      <c r="E50" s="119">
        <f>E48+E49</f>
        <v>-34.300000000000047</v>
      </c>
      <c r="F50" s="53"/>
      <c r="G50" s="60"/>
      <c r="H50" s="40"/>
      <c r="I50" s="40"/>
      <c r="J50" s="40"/>
      <c r="K50" s="64"/>
    </row>
    <row r="51" spans="1:11" s="2" customFormat="1" ht="23.25" customHeight="1" x14ac:dyDescent="0.15">
      <c r="A51" s="12"/>
      <c r="B51" s="132"/>
      <c r="C51" s="132"/>
      <c r="D51" s="132"/>
      <c r="E51" s="132"/>
      <c r="F51" s="53"/>
      <c r="G51" s="60"/>
      <c r="H51" s="40"/>
      <c r="I51" s="40"/>
      <c r="J51" s="40"/>
      <c r="K51" s="64"/>
    </row>
    <row r="52" spans="1:11" ht="18" customHeight="1" x14ac:dyDescent="0.15">
      <c r="A52" s="21" t="s">
        <v>23</v>
      </c>
      <c r="B52" s="118">
        <v>78.400000000000006</v>
      </c>
      <c r="C52" s="118">
        <f>C83-B83</f>
        <v>78.769000000000005</v>
      </c>
      <c r="D52" s="118">
        <f>D83-C83</f>
        <v>28.629000000000019</v>
      </c>
      <c r="E52" s="118">
        <f>E83-D83</f>
        <v>34.272000000000048</v>
      </c>
      <c r="F52" s="16"/>
      <c r="G52" s="60"/>
      <c r="H52" s="40"/>
      <c r="I52" s="40"/>
      <c r="J52" s="40"/>
      <c r="K52" s="64"/>
    </row>
    <row r="53" spans="1:11" ht="19.5" customHeight="1" x14ac:dyDescent="0.15">
      <c r="A53" s="103" t="s">
        <v>34</v>
      </c>
      <c r="B53" s="123">
        <f>B52+B48</f>
        <v>-44.518999999999991</v>
      </c>
      <c r="C53" s="123">
        <f>C52+C48</f>
        <v>68.486000000000018</v>
      </c>
      <c r="D53" s="123">
        <f>D52+D48</f>
        <v>-42.435999999999993</v>
      </c>
      <c r="E53" s="123">
        <f>E52+E48</f>
        <v>-28.427999999999997</v>
      </c>
      <c r="F53" s="54"/>
      <c r="G53" s="59"/>
      <c r="H53" s="40"/>
      <c r="I53" s="40"/>
      <c r="J53" s="40"/>
      <c r="K53" s="64"/>
    </row>
    <row r="54" spans="1:11" ht="23" customHeight="1" x14ac:dyDescent="0.15">
      <c r="A54" s="21" t="s">
        <v>34</v>
      </c>
      <c r="B54" s="22" t="s">
        <v>34</v>
      </c>
      <c r="C54" s="13"/>
      <c r="D54" s="13"/>
      <c r="E54" s="13"/>
      <c r="F54" s="54"/>
      <c r="G54" s="60"/>
      <c r="H54" s="40"/>
      <c r="I54" s="40"/>
      <c r="J54" s="40"/>
      <c r="K54" s="65"/>
    </row>
    <row r="55" spans="1:11" ht="23.25" customHeight="1" x14ac:dyDescent="0.15">
      <c r="A55" s="3" t="s">
        <v>9</v>
      </c>
      <c r="C55" s="3"/>
      <c r="D55" s="3"/>
      <c r="E55" s="3"/>
      <c r="F55" s="54"/>
      <c r="G55" s="63"/>
      <c r="H55" s="40"/>
      <c r="I55" s="40"/>
      <c r="J55" s="40"/>
      <c r="K55" s="65"/>
    </row>
    <row r="56" spans="1:11" ht="23.25" customHeight="1" x14ac:dyDescent="0.15">
      <c r="A56" s="5" t="str">
        <f>+A7</f>
        <v>En millions d'euros</v>
      </c>
      <c r="B56" s="24">
        <f>B7</f>
        <v>2015</v>
      </c>
      <c r="C56" s="37">
        <f>C34</f>
        <v>2016</v>
      </c>
      <c r="D56" s="37">
        <f>D34</f>
        <v>2017</v>
      </c>
      <c r="E56" s="37">
        <f>E34</f>
        <v>2018</v>
      </c>
      <c r="F56" s="54"/>
      <c r="G56" s="63"/>
      <c r="H56" s="47"/>
      <c r="I56" s="47"/>
      <c r="J56" s="47"/>
      <c r="K56" s="65"/>
    </row>
    <row r="57" spans="1:11" ht="23.25" customHeight="1" x14ac:dyDescent="0.15">
      <c r="A57" s="7" t="s">
        <v>103</v>
      </c>
      <c r="B57" s="110">
        <v>35.042999999999999</v>
      </c>
      <c r="C57" s="110">
        <v>64.655000000000001</v>
      </c>
      <c r="D57" s="110">
        <v>70.052999999999997</v>
      </c>
      <c r="E57" s="110">
        <v>96.418000000000006</v>
      </c>
      <c r="F57" s="54"/>
      <c r="G57" s="60"/>
      <c r="H57" s="8"/>
      <c r="I57" s="8"/>
      <c r="J57" s="8"/>
      <c r="K57" s="65"/>
    </row>
    <row r="58" spans="1:11" ht="23.25" customHeight="1" x14ac:dyDescent="0.15">
      <c r="A58" s="67" t="s">
        <v>102</v>
      </c>
      <c r="B58" s="110">
        <v>1.056</v>
      </c>
      <c r="C58" s="110">
        <v>45.412999999999997</v>
      </c>
      <c r="D58" s="110">
        <v>46.08</v>
      </c>
      <c r="E58" s="110">
        <v>46.033000000000001</v>
      </c>
      <c r="F58" s="54"/>
      <c r="G58" s="59"/>
      <c r="H58" s="8"/>
      <c r="I58" s="8"/>
      <c r="J58" s="8"/>
      <c r="K58" s="64"/>
    </row>
    <row r="59" spans="1:11" ht="23.25" customHeight="1" x14ac:dyDescent="0.15">
      <c r="A59" s="9" t="s">
        <v>10</v>
      </c>
      <c r="B59" s="110">
        <v>445.62200000000001</v>
      </c>
      <c r="C59" s="110">
        <v>662.37699999999995</v>
      </c>
      <c r="D59" s="110">
        <v>618.57500000000005</v>
      </c>
      <c r="E59" s="110">
        <v>608.22799999999995</v>
      </c>
      <c r="F59" s="54"/>
      <c r="G59" s="59"/>
      <c r="H59" s="8"/>
      <c r="I59" s="8"/>
      <c r="J59" s="8"/>
      <c r="K59" s="64"/>
    </row>
    <row r="60" spans="1:11" ht="23.25" customHeight="1" x14ac:dyDescent="0.15">
      <c r="A60" s="108" t="s">
        <v>104</v>
      </c>
      <c r="B60" s="110">
        <v>0.27800000000000002</v>
      </c>
      <c r="C60" s="110">
        <v>0.52300000000000002</v>
      </c>
      <c r="D60" s="110">
        <f>0.748</f>
        <v>0.748</v>
      </c>
      <c r="E60" s="110">
        <v>2.3029999999999999</v>
      </c>
      <c r="F60" s="54"/>
      <c r="G60" s="59"/>
      <c r="H60" s="8"/>
      <c r="I60" s="8"/>
      <c r="J60" s="8"/>
      <c r="K60" s="65"/>
    </row>
    <row r="61" spans="1:11" ht="23.25" customHeight="1" x14ac:dyDescent="0.15">
      <c r="A61" s="9" t="s">
        <v>11</v>
      </c>
      <c r="B61" s="110">
        <v>5.4109999999999996</v>
      </c>
      <c r="C61" s="110">
        <v>23.734999999999999</v>
      </c>
      <c r="D61" s="110">
        <v>18.007999999999999</v>
      </c>
      <c r="E61" s="110">
        <v>22.012</v>
      </c>
      <c r="F61" s="54"/>
      <c r="G61" s="59"/>
      <c r="H61" s="8"/>
      <c r="I61" s="8"/>
      <c r="J61" s="8"/>
      <c r="K61" s="65"/>
    </row>
    <row r="62" spans="1:11" ht="23.25" customHeight="1" x14ac:dyDescent="0.15">
      <c r="A62" s="9" t="s">
        <v>105</v>
      </c>
      <c r="B62" s="110"/>
      <c r="C62" s="110"/>
      <c r="D62" s="110">
        <v>0.94899999999999995</v>
      </c>
      <c r="E62" s="110">
        <v>0.22600000000000001</v>
      </c>
      <c r="F62" s="54"/>
      <c r="G62" s="59"/>
      <c r="H62" s="8"/>
      <c r="I62" s="8"/>
      <c r="J62" s="8"/>
      <c r="K62" s="65"/>
    </row>
    <row r="63" spans="1:11" ht="23.25" customHeight="1" x14ac:dyDescent="0.15">
      <c r="A63" s="9" t="s">
        <v>109</v>
      </c>
      <c r="B63" s="110">
        <v>0.5</v>
      </c>
      <c r="C63" s="110">
        <v>0.13500000000000001</v>
      </c>
      <c r="D63" s="110">
        <v>0</v>
      </c>
      <c r="E63" s="110">
        <v>0</v>
      </c>
      <c r="F63" s="54"/>
      <c r="G63" s="59"/>
      <c r="H63" s="8"/>
      <c r="I63" s="8"/>
      <c r="J63" s="8"/>
      <c r="K63" s="65"/>
    </row>
    <row r="64" spans="1:11" ht="34.5" customHeight="1" x14ac:dyDescent="0.15">
      <c r="A64" s="12" t="s">
        <v>27</v>
      </c>
      <c r="B64" s="109">
        <f>B57+B58+B59+B60+B61+B62+B63</f>
        <v>487.91</v>
      </c>
      <c r="C64" s="109">
        <f t="shared" ref="C64:E64" si="17">C57+C58+C59+C60+C61+C62+C63</f>
        <v>796.83799999999997</v>
      </c>
      <c r="D64" s="109">
        <f t="shared" si="17"/>
        <v>754.41300000000012</v>
      </c>
      <c r="E64" s="109">
        <f t="shared" si="17"/>
        <v>775.21999999999991</v>
      </c>
      <c r="F64" s="54"/>
      <c r="G64" s="59"/>
      <c r="H64" s="8"/>
      <c r="I64" s="8"/>
      <c r="J64" s="8"/>
      <c r="K64" s="65"/>
    </row>
    <row r="65" spans="1:11" s="130" customFormat="1" ht="23.25" customHeight="1" x14ac:dyDescent="0.15">
      <c r="A65" s="124" t="s">
        <v>115</v>
      </c>
      <c r="B65" s="125">
        <v>0.59599999999999997</v>
      </c>
      <c r="C65" s="125">
        <v>2.5419999999999998</v>
      </c>
      <c r="D65" s="125">
        <v>14.196999999999999</v>
      </c>
      <c r="E65" s="125">
        <v>30.867999999999999</v>
      </c>
      <c r="F65" s="126"/>
      <c r="G65" s="127"/>
      <c r="H65" s="128"/>
      <c r="I65" s="128"/>
      <c r="J65" s="128"/>
      <c r="K65" s="129"/>
    </row>
    <row r="66" spans="1:11" s="41" customFormat="1" ht="23.25" customHeight="1" x14ac:dyDescent="0.15">
      <c r="A66" s="9" t="s">
        <v>12</v>
      </c>
      <c r="B66" s="110">
        <v>16.361000000000001</v>
      </c>
      <c r="C66" s="110">
        <v>59.783999999999999</v>
      </c>
      <c r="D66" s="110">
        <v>44.973999999999997</v>
      </c>
      <c r="E66" s="110">
        <v>41.439</v>
      </c>
      <c r="F66" s="45"/>
      <c r="G66" s="60"/>
      <c r="H66" s="50"/>
      <c r="I66" s="50"/>
      <c r="J66" s="38"/>
      <c r="K66" s="59"/>
    </row>
    <row r="67" spans="1:11" ht="23.25" customHeight="1" x14ac:dyDescent="0.15">
      <c r="A67" s="9" t="s">
        <v>29</v>
      </c>
      <c r="B67" s="110">
        <v>1.9790000000000001</v>
      </c>
      <c r="C67" s="110">
        <v>3.4049999999999998</v>
      </c>
      <c r="D67" s="110">
        <v>18.925999999999998</v>
      </c>
      <c r="E67" s="110">
        <f>25.706</f>
        <v>25.706</v>
      </c>
      <c r="G67" s="59"/>
      <c r="H67" s="59"/>
      <c r="I67" s="59"/>
      <c r="J67" s="38"/>
      <c r="K67" s="65"/>
    </row>
    <row r="68" spans="1:11" ht="23.25" customHeight="1" x14ac:dyDescent="0.15">
      <c r="A68" s="9" t="s">
        <v>13</v>
      </c>
      <c r="B68" s="110">
        <v>28.63</v>
      </c>
      <c r="C68" s="110">
        <v>70.301000000000002</v>
      </c>
      <c r="D68" s="110">
        <v>45.622999999999998</v>
      </c>
      <c r="E68" s="110">
        <v>48.677</v>
      </c>
      <c r="G68" s="60"/>
      <c r="H68" s="50"/>
      <c r="I68" s="50"/>
      <c r="J68" s="38"/>
      <c r="K68" s="59"/>
    </row>
    <row r="69" spans="1:11" ht="23.25" customHeight="1" x14ac:dyDescent="0.15">
      <c r="A69" s="9" t="s">
        <v>30</v>
      </c>
      <c r="B69" s="110">
        <f>0+0.702+0.007</f>
        <v>0.70899999999999996</v>
      </c>
      <c r="C69" s="110">
        <f>17.693+1.711+2.592</f>
        <v>21.995999999999999</v>
      </c>
      <c r="D69" s="110">
        <f>6.142+8.586+15.764</f>
        <v>30.492000000000001</v>
      </c>
      <c r="E69" s="110">
        <f>12.876+11.427+22.374</f>
        <v>46.676999999999992</v>
      </c>
      <c r="F69" s="52"/>
      <c r="G69" s="60"/>
      <c r="H69" s="50"/>
      <c r="I69" s="50"/>
      <c r="J69" s="38"/>
      <c r="K69" s="59"/>
    </row>
    <row r="70" spans="1:11" ht="23.25" customHeight="1" x14ac:dyDescent="0.15">
      <c r="A70" s="12" t="s">
        <v>24</v>
      </c>
      <c r="B70" s="109">
        <f t="shared" ref="B70:D70" si="18">B65+B66+B67-B68-B69</f>
        <v>-10.402999999999999</v>
      </c>
      <c r="C70" s="109">
        <f t="shared" si="18"/>
        <v>-26.566000000000006</v>
      </c>
      <c r="D70" s="109">
        <f t="shared" si="18"/>
        <v>1.9819999999999958</v>
      </c>
      <c r="E70" s="109">
        <f>E65+E66+E67-E68-E69</f>
        <v>2.6590000000000131</v>
      </c>
      <c r="G70" s="60"/>
      <c r="H70" s="50"/>
      <c r="I70" s="50"/>
      <c r="J70" s="38"/>
      <c r="K70" s="61"/>
    </row>
    <row r="71" spans="1:11" ht="23.25" customHeight="1" x14ac:dyDescent="0.15">
      <c r="A71" s="9" t="s">
        <v>35</v>
      </c>
      <c r="B71" s="110">
        <v>0</v>
      </c>
      <c r="C71" s="110">
        <v>0</v>
      </c>
      <c r="D71" s="110">
        <v>6.7569999999999997</v>
      </c>
      <c r="E71" s="110">
        <v>3.0550000000000002</v>
      </c>
      <c r="G71" s="60"/>
      <c r="H71" s="50"/>
      <c r="I71" s="50"/>
      <c r="J71" s="38"/>
      <c r="K71" s="61"/>
    </row>
    <row r="72" spans="1:11" s="32" customFormat="1" ht="23.25" customHeight="1" x14ac:dyDescent="0.15">
      <c r="A72" s="9" t="s">
        <v>106</v>
      </c>
      <c r="B72" s="110">
        <v>0</v>
      </c>
      <c r="C72" s="110">
        <v>0</v>
      </c>
      <c r="D72" s="110">
        <v>0</v>
      </c>
      <c r="E72" s="110">
        <v>0</v>
      </c>
      <c r="F72" s="45"/>
      <c r="G72" s="61"/>
      <c r="H72" s="61"/>
      <c r="I72" s="61"/>
      <c r="J72" s="49"/>
      <c r="K72" s="59"/>
    </row>
    <row r="73" spans="1:11" ht="23.25" customHeight="1" x14ac:dyDescent="0.15">
      <c r="A73" s="31" t="s">
        <v>49</v>
      </c>
      <c r="B73" s="119">
        <f t="shared" ref="B73:D73" si="19">B71-B72</f>
        <v>0</v>
      </c>
      <c r="C73" s="119">
        <f t="shared" si="19"/>
        <v>0</v>
      </c>
      <c r="D73" s="119">
        <f t="shared" si="19"/>
        <v>6.7569999999999997</v>
      </c>
      <c r="E73" s="119">
        <f>E71-E72</f>
        <v>3.0550000000000002</v>
      </c>
      <c r="F73" s="47"/>
      <c r="G73" s="59"/>
      <c r="H73" s="59"/>
      <c r="I73" s="59"/>
      <c r="J73" s="38"/>
      <c r="K73" s="59"/>
    </row>
    <row r="74" spans="1:11" ht="23.25" customHeight="1" x14ac:dyDescent="0.15">
      <c r="A74" s="18" t="s">
        <v>46</v>
      </c>
      <c r="B74" s="114">
        <f>B64+B70+B73</f>
        <v>477.50700000000001</v>
      </c>
      <c r="C74" s="114">
        <f>C64+C70+C73</f>
        <v>770.27199999999993</v>
      </c>
      <c r="D74" s="114">
        <f>D64+D70+D73</f>
        <v>763.15200000000004</v>
      </c>
      <c r="E74" s="114">
        <f>E64+E70+E73</f>
        <v>780.93399999999986</v>
      </c>
      <c r="G74" s="61"/>
      <c r="H74" s="61"/>
      <c r="I74" s="61"/>
      <c r="J74" s="61"/>
      <c r="K74" s="59"/>
    </row>
    <row r="75" spans="1:11" ht="23.25" customHeight="1" x14ac:dyDescent="0.15">
      <c r="A75" s="7" t="s">
        <v>28</v>
      </c>
      <c r="B75" s="110">
        <v>153.6</v>
      </c>
      <c r="C75" s="110">
        <v>349.81900000000002</v>
      </c>
      <c r="D75" s="110">
        <v>321.60000000000002</v>
      </c>
      <c r="E75" s="110">
        <v>317.32400000000001</v>
      </c>
      <c r="G75" s="60"/>
      <c r="H75" s="59"/>
      <c r="I75" s="59"/>
      <c r="J75" s="19"/>
      <c r="K75" s="59"/>
    </row>
    <row r="76" spans="1:11" ht="23.25" customHeight="1" x14ac:dyDescent="0.15">
      <c r="A76" s="9" t="s">
        <v>20</v>
      </c>
      <c r="B76" s="110">
        <v>57.761000000000003</v>
      </c>
      <c r="C76" s="110">
        <v>74.935000000000002</v>
      </c>
      <c r="D76" s="110">
        <v>67.231999999999999</v>
      </c>
      <c r="E76" s="110">
        <v>54.747</v>
      </c>
      <c r="F76" s="55"/>
      <c r="G76" s="59"/>
      <c r="H76" s="59"/>
      <c r="I76" s="59"/>
      <c r="J76" s="40"/>
      <c r="K76" s="59"/>
    </row>
    <row r="77" spans="1:11" ht="23.25" customHeight="1" x14ac:dyDescent="0.15">
      <c r="A77" s="9" t="s">
        <v>37</v>
      </c>
      <c r="B77" s="110">
        <f>0.339+0.596</f>
        <v>0.93500000000000005</v>
      </c>
      <c r="C77" s="110">
        <f>1.024+1.907</f>
        <v>2.931</v>
      </c>
      <c r="D77" s="110">
        <f>0.616+1.113</f>
        <v>1.7290000000000001</v>
      </c>
      <c r="E77" s="110">
        <f>0.367+1.113</f>
        <v>1.48</v>
      </c>
      <c r="G77" s="60"/>
      <c r="H77" s="59"/>
      <c r="I77" s="59"/>
      <c r="J77" s="19"/>
      <c r="K77" s="65"/>
    </row>
    <row r="78" spans="1:11" ht="23.25" customHeight="1" x14ac:dyDescent="0.15">
      <c r="A78" s="9" t="s">
        <v>36</v>
      </c>
      <c r="B78" s="110">
        <v>0.10199999999999999</v>
      </c>
      <c r="C78" s="110">
        <f>2.721</f>
        <v>2.7210000000000001</v>
      </c>
      <c r="D78" s="110">
        <f>1.776</f>
        <v>1.776</v>
      </c>
      <c r="E78" s="110">
        <f>1.658</f>
        <v>1.6579999999999999</v>
      </c>
      <c r="F78" s="56"/>
      <c r="G78" s="60"/>
      <c r="H78" s="59"/>
      <c r="I78" s="59"/>
      <c r="J78" s="19"/>
      <c r="K78" s="65"/>
    </row>
    <row r="79" spans="1:11" ht="23.25" customHeight="1" x14ac:dyDescent="0.15">
      <c r="A79" s="12" t="s">
        <v>87</v>
      </c>
      <c r="B79" s="109">
        <f>B75+B76-B77+B78</f>
        <v>210.52799999999999</v>
      </c>
      <c r="C79" s="109">
        <f>C75+C76-C77+C78</f>
        <v>424.54400000000004</v>
      </c>
      <c r="D79" s="109">
        <f>D75+D76-D77+D78</f>
        <v>388.87900000000002</v>
      </c>
      <c r="E79" s="109">
        <f>E75+E76-E77+E78</f>
        <v>372.24900000000002</v>
      </c>
      <c r="G79" s="59"/>
      <c r="H79" s="62"/>
      <c r="I79" s="62"/>
      <c r="J79" s="62"/>
      <c r="K79" s="65"/>
    </row>
    <row r="80" spans="1:11" ht="23.25" customHeight="1" x14ac:dyDescent="0.15">
      <c r="A80" s="7" t="s">
        <v>26</v>
      </c>
      <c r="B80" s="110">
        <f>260.784+1.335-0.001+2.889+1.179</f>
        <v>266.18599999999998</v>
      </c>
      <c r="C80" s="110">
        <f>322.688+2.869+2.793+3.314+4.316+1.169</f>
        <v>337.149</v>
      </c>
      <c r="D80" s="110">
        <f>339.177+13.614+10.457+0.664+3.494</f>
        <v>367.40600000000001</v>
      </c>
      <c r="E80" s="110">
        <f>435.342+3.665+5.308+0.805+1.464</f>
        <v>446.584</v>
      </c>
      <c r="F80" s="56"/>
      <c r="G80" s="59"/>
      <c r="H80" s="62"/>
      <c r="I80" s="62"/>
      <c r="J80" s="62"/>
      <c r="K80" s="65"/>
    </row>
    <row r="81" spans="1:11" s="25" customFormat="1" ht="23.25" customHeight="1" x14ac:dyDescent="0.15">
      <c r="A81" s="9" t="s">
        <v>45</v>
      </c>
      <c r="B81" s="110">
        <v>44.365000000000002</v>
      </c>
      <c r="C81" s="110">
        <v>109.955</v>
      </c>
      <c r="D81" s="110">
        <v>78.198999999999998</v>
      </c>
      <c r="E81" s="110">
        <v>70.653999999999996</v>
      </c>
      <c r="F81" s="57"/>
      <c r="G81" s="59"/>
      <c r="H81" s="62"/>
      <c r="I81" s="62"/>
      <c r="J81" s="62"/>
      <c r="K81" s="65"/>
    </row>
    <row r="82" spans="1:11" ht="23" customHeight="1" x14ac:dyDescent="0.15">
      <c r="A82" s="9" t="s">
        <v>19</v>
      </c>
      <c r="B82" s="110">
        <v>43.591000000000001</v>
      </c>
      <c r="C82" s="110">
        <v>101.375</v>
      </c>
      <c r="D82" s="110">
        <v>71.247</v>
      </c>
      <c r="E82" s="110">
        <f>108.608</f>
        <v>108.608</v>
      </c>
      <c r="F82" s="47"/>
      <c r="G82" s="60"/>
      <c r="H82" s="56"/>
      <c r="I82" s="56"/>
      <c r="J82" s="56"/>
      <c r="K82" s="65"/>
    </row>
    <row r="83" spans="1:11" ht="22" customHeight="1" x14ac:dyDescent="0.15">
      <c r="A83" s="12" t="s">
        <v>41</v>
      </c>
      <c r="B83" s="109">
        <f t="shared" ref="B83:D83" si="20">+B80+B81-B82</f>
        <v>266.95999999999998</v>
      </c>
      <c r="C83" s="109">
        <f t="shared" si="20"/>
        <v>345.72899999999998</v>
      </c>
      <c r="D83" s="109">
        <f t="shared" si="20"/>
        <v>374.358</v>
      </c>
      <c r="E83" s="109">
        <f>+E80+E81-E82</f>
        <v>408.63000000000005</v>
      </c>
      <c r="F83" s="16"/>
      <c r="G83" s="50"/>
      <c r="H83" s="50"/>
      <c r="I83" s="50"/>
      <c r="J83" s="45"/>
      <c r="K83" s="65"/>
    </row>
    <row r="84" spans="1:11" ht="23.25" customHeight="1" x14ac:dyDescent="0.15">
      <c r="A84" s="18" t="s">
        <v>88</v>
      </c>
      <c r="B84" s="114">
        <f>B79+B83</f>
        <v>477.48799999999994</v>
      </c>
      <c r="C84" s="114">
        <f>C79+C83</f>
        <v>770.27300000000002</v>
      </c>
      <c r="D84" s="114">
        <f>D79+D83</f>
        <v>763.23700000000008</v>
      </c>
      <c r="E84" s="114">
        <f>E79+E83</f>
        <v>780.87900000000013</v>
      </c>
      <c r="F84" s="58"/>
      <c r="G84" s="50"/>
      <c r="H84" s="50"/>
      <c r="I84" s="50"/>
      <c r="J84" s="45"/>
      <c r="K84" s="65"/>
    </row>
    <row r="85" spans="1:11" ht="23.25" customHeight="1" x14ac:dyDescent="0.15">
      <c r="A85" s="39"/>
      <c r="B85" s="109"/>
      <c r="C85" s="109"/>
      <c r="D85" s="109"/>
      <c r="E85" s="109"/>
      <c r="F85" s="58"/>
      <c r="G85" s="50"/>
      <c r="H85" s="50"/>
      <c r="I85" s="50"/>
      <c r="J85" s="45"/>
      <c r="K85" s="65"/>
    </row>
    <row r="86" spans="1:11" ht="23.25" customHeight="1" x14ac:dyDescent="0.15">
      <c r="A86" s="21" t="s">
        <v>21</v>
      </c>
      <c r="B86" s="22">
        <f>+B74-B84</f>
        <v>1.90000000000623E-2</v>
      </c>
      <c r="C86" s="22">
        <f>+C74-C84</f>
        <v>-1.00000000009004E-3</v>
      </c>
      <c r="D86" s="22">
        <f>+D74-D84</f>
        <v>-8.500000000003638E-2</v>
      </c>
      <c r="E86" s="22">
        <f>+E74-E84</f>
        <v>5.4999999999722604E-2</v>
      </c>
      <c r="F86" s="122" t="s">
        <v>34</v>
      </c>
      <c r="G86" s="50"/>
      <c r="H86" s="50"/>
      <c r="I86" s="50"/>
      <c r="J86" s="45"/>
      <c r="K86" s="65"/>
    </row>
    <row r="87" spans="1:11" ht="23.25" customHeight="1" x14ac:dyDescent="0.15">
      <c r="A87" s="21" t="s">
        <v>23</v>
      </c>
      <c r="B87" s="22" t="str">
        <f>IF((ABS(B74-B84)&lt;0.1),"ok")</f>
        <v>ok</v>
      </c>
      <c r="C87" s="22" t="str">
        <f>IF((ABS(C74-C84)&lt;0.1),"ok")</f>
        <v>ok</v>
      </c>
      <c r="D87" s="22" t="str">
        <f>IF((ABS(D74-D84)&lt;0.1),"ok")</f>
        <v>ok</v>
      </c>
      <c r="E87" s="22" t="str">
        <f>IF((ABS(E74-E84)&lt;0.1),"ok")</f>
        <v>ok</v>
      </c>
      <c r="F87" s="1"/>
      <c r="G87" s="50"/>
      <c r="H87" s="50"/>
      <c r="I87" s="50"/>
      <c r="J87" s="45"/>
      <c r="K87" s="65"/>
    </row>
    <row r="88" spans="1:11" ht="23.25" customHeight="1" x14ac:dyDescent="0.15">
      <c r="A88" s="66" t="s">
        <v>34</v>
      </c>
      <c r="B88" s="22" t="s">
        <v>34</v>
      </c>
      <c r="C88" s="22" t="s">
        <v>34</v>
      </c>
      <c r="D88" s="22" t="s">
        <v>34</v>
      </c>
      <c r="E88" s="22"/>
      <c r="G88" s="50"/>
      <c r="H88" s="50"/>
      <c r="I88" s="50"/>
      <c r="J88" s="45"/>
      <c r="K88" s="65"/>
    </row>
    <row r="89" spans="1:11" ht="23.25" customHeight="1" x14ac:dyDescent="0.15">
      <c r="A89" s="21"/>
      <c r="B89" s="22"/>
      <c r="C89" s="17"/>
      <c r="D89" s="17"/>
      <c r="E89" s="17"/>
      <c r="G89" s="50"/>
      <c r="H89" s="50"/>
      <c r="I89" s="50"/>
      <c r="J89" s="45"/>
      <c r="K89" s="65"/>
    </row>
    <row r="90" spans="1:11" ht="23.25" customHeight="1" x14ac:dyDescent="0.15">
      <c r="A90" s="72" t="s">
        <v>51</v>
      </c>
      <c r="B90" s="24">
        <f>B98</f>
        <v>2015</v>
      </c>
      <c r="C90" s="24">
        <f>C98</f>
        <v>2016</v>
      </c>
      <c r="D90" s="24">
        <f>D98</f>
        <v>2017</v>
      </c>
      <c r="E90" s="24">
        <f t="shared" ref="E90" si="21">E98</f>
        <v>2018</v>
      </c>
      <c r="G90" s="50"/>
      <c r="H90" s="50"/>
      <c r="I90" s="50"/>
      <c r="J90" s="45"/>
      <c r="K90" s="65"/>
    </row>
    <row r="91" spans="1:11" ht="23.25" customHeight="1" x14ac:dyDescent="0.15">
      <c r="A91" s="7" t="s">
        <v>93</v>
      </c>
      <c r="B91" s="27">
        <v>132</v>
      </c>
      <c r="C91" s="27">
        <f>106+303</f>
        <v>409</v>
      </c>
      <c r="D91" s="27">
        <f>129+336</f>
        <v>465</v>
      </c>
      <c r="E91" s="27">
        <f>169+378</f>
        <v>547</v>
      </c>
      <c r="G91" s="50"/>
      <c r="H91" s="50"/>
      <c r="I91" s="50"/>
      <c r="J91" s="45"/>
      <c r="K91" s="65"/>
    </row>
    <row r="92" spans="1:11" ht="23.25" customHeight="1" x14ac:dyDescent="0.15">
      <c r="A92" s="7" t="s">
        <v>52</v>
      </c>
      <c r="B92" s="27">
        <f>B8/B91*1000</f>
        <v>443.67424242424244</v>
      </c>
      <c r="C92" s="27">
        <f>C8/C91*1000</f>
        <v>310.43031784841077</v>
      </c>
      <c r="D92" s="27">
        <f>D8/D91*1000</f>
        <v>389.65161290322578</v>
      </c>
      <c r="E92" s="27">
        <f>E8/E91*1000</f>
        <v>330.27422303473492</v>
      </c>
    </row>
    <row r="93" spans="1:11" ht="23.25" customHeight="1" x14ac:dyDescent="0.15">
      <c r="A93" s="7" t="s">
        <v>53</v>
      </c>
      <c r="B93" s="27">
        <f>B14/B91*1000</f>
        <v>295.53030303030306</v>
      </c>
      <c r="C93" s="27">
        <f>C14/C91*1000</f>
        <v>176.13447432762837</v>
      </c>
      <c r="D93" s="27">
        <f>D14/D91*1000</f>
        <v>222.14193548387095</v>
      </c>
      <c r="E93" s="27">
        <f>E14/E91*1000</f>
        <v>199.78062157221206</v>
      </c>
    </row>
    <row r="94" spans="1:11" ht="23.25" customHeight="1" x14ac:dyDescent="0.15">
      <c r="A94" s="7" t="s">
        <v>54</v>
      </c>
      <c r="B94" s="27">
        <f>B20/(B91)*1000</f>
        <v>168.32575757575754</v>
      </c>
      <c r="C94" s="27">
        <f>C20/(C91)*1000</f>
        <v>83.581907090464554</v>
      </c>
      <c r="D94" s="27">
        <f>D20/(D91)*1000</f>
        <v>98.380645161290289</v>
      </c>
      <c r="E94" s="27">
        <f>E20/(E91)*1000</f>
        <v>86.349177330895756</v>
      </c>
    </row>
    <row r="95" spans="1:11" ht="23.25" customHeight="1" x14ac:dyDescent="0.15">
      <c r="A95" s="73" t="s">
        <v>55</v>
      </c>
      <c r="B95" s="120">
        <f>B15/B91*1000</f>
        <v>37.348484848484844</v>
      </c>
      <c r="C95" s="120">
        <f>C15/C91*1000</f>
        <v>29.43520782396088</v>
      </c>
      <c r="D95" s="120">
        <f>D15/D91*1000</f>
        <v>46.103225806451611</v>
      </c>
      <c r="E95" s="120">
        <f>E15/E91*1000</f>
        <v>37.265082266910426</v>
      </c>
    </row>
    <row r="96" spans="1:11" ht="23.25" customHeight="1" x14ac:dyDescent="0.15">
      <c r="A96" s="7"/>
      <c r="B96" s="38"/>
    </row>
    <row r="97" spans="1:5" ht="23.25" customHeight="1" x14ac:dyDescent="0.15">
      <c r="A97" s="7"/>
      <c r="B97" s="38"/>
    </row>
    <row r="98" spans="1:5" ht="23.25" customHeight="1" x14ac:dyDescent="0.15">
      <c r="A98" s="72" t="s">
        <v>56</v>
      </c>
      <c r="B98" s="24">
        <f>B7</f>
        <v>2015</v>
      </c>
      <c r="C98" s="24">
        <f>C7</f>
        <v>2016</v>
      </c>
      <c r="D98" s="24">
        <f>D7</f>
        <v>2017</v>
      </c>
      <c r="E98" s="24">
        <f>E7</f>
        <v>2018</v>
      </c>
    </row>
    <row r="99" spans="1:5" ht="23.25" customHeight="1" x14ac:dyDescent="0.15">
      <c r="A99" s="7" t="s">
        <v>57</v>
      </c>
      <c r="B99" s="74">
        <f>B70/(1+B103)/B8*365</f>
        <v>-54.029639431970175</v>
      </c>
      <c r="C99" s="74">
        <f>C70/(1+C103)/C8*365</f>
        <v>-63.642956907098508</v>
      </c>
      <c r="D99" s="74">
        <f>D70/(1+D103)/D8*365</f>
        <v>3.3272530925521124</v>
      </c>
      <c r="E99" s="74">
        <f>E70/(1+E103)/E8*365</f>
        <v>4.4768026495442861</v>
      </c>
    </row>
    <row r="100" spans="1:5" ht="23.25" customHeight="1" x14ac:dyDescent="0.15">
      <c r="A100" s="7" t="s">
        <v>58</v>
      </c>
      <c r="B100" s="74">
        <f>(B66/(1+B103))/B8*365</f>
        <v>84.973462534505828</v>
      </c>
      <c r="C100" s="74">
        <f>(C66/(1+C103))/C8*365</f>
        <v>143.22180741300821</v>
      </c>
      <c r="D100" s="74">
        <f>(D66/(1+D103))/D8*365</f>
        <v>75.499435209101406</v>
      </c>
      <c r="E100" s="74">
        <f>(E66/(1+E103))/E8*365</f>
        <v>69.768418576331229</v>
      </c>
    </row>
    <row r="101" spans="1:5" ht="23.25" customHeight="1" x14ac:dyDescent="0.15">
      <c r="A101" s="7" t="s">
        <v>59</v>
      </c>
      <c r="B101" s="74">
        <f>B65/B8*365</f>
        <v>3.7145052505762828</v>
      </c>
      <c r="C101" s="74">
        <f>C65/C8*365</f>
        <v>7.3077044248066407</v>
      </c>
      <c r="D101" s="74">
        <f>D65/D8*365</f>
        <v>28.599603726516108</v>
      </c>
      <c r="E101" s="74">
        <f>E65/E8*365</f>
        <v>62.364773607882206</v>
      </c>
    </row>
    <row r="102" spans="1:5" ht="23.25" customHeight="1" x14ac:dyDescent="0.15">
      <c r="A102" s="7" t="s">
        <v>60</v>
      </c>
      <c r="B102" s="74">
        <f>B68/(B12+B13)/(1+B103)*365</f>
        <v>445.32302054035625</v>
      </c>
      <c r="C102" s="74">
        <f>C68/(C12+C13)/(1+C103)*365</f>
        <v>389.30254398261934</v>
      </c>
      <c r="D102" s="74">
        <f>D68/(D12+D13)/(1+D103)*365</f>
        <v>178.15688175080027</v>
      </c>
      <c r="E102" s="74">
        <f>E68/(E12+E13)/(1+E103)*365</f>
        <v>207.42393994582986</v>
      </c>
    </row>
    <row r="103" spans="1:5" ht="23.25" customHeight="1" x14ac:dyDescent="0.15">
      <c r="A103" s="73" t="s">
        <v>61</v>
      </c>
      <c r="B103" s="133">
        <v>0.2</v>
      </c>
      <c r="C103" s="133">
        <v>0.2</v>
      </c>
      <c r="D103" s="133">
        <v>0.2</v>
      </c>
      <c r="E103" s="133">
        <v>0.2</v>
      </c>
    </row>
    <row r="104" spans="1:5" ht="23.25" customHeight="1" x14ac:dyDescent="0.15">
      <c r="A104" s="7"/>
      <c r="B104" s="38"/>
      <c r="C104" s="38"/>
      <c r="D104" s="38"/>
      <c r="E104" s="38"/>
    </row>
    <row r="105" spans="1:5" ht="23.25" customHeight="1" x14ac:dyDescent="0.15">
      <c r="A105" s="7"/>
      <c r="B105" s="38"/>
      <c r="C105" s="38"/>
      <c r="D105" s="38"/>
      <c r="E105" s="38"/>
    </row>
    <row r="106" spans="1:5" ht="23.25" customHeight="1" x14ac:dyDescent="0.15">
      <c r="A106" s="72" t="s">
        <v>62</v>
      </c>
      <c r="B106" s="24">
        <f>B98</f>
        <v>2015</v>
      </c>
      <c r="C106" s="24">
        <f>C98</f>
        <v>2016</v>
      </c>
      <c r="D106" s="24">
        <f>D98</f>
        <v>2017</v>
      </c>
      <c r="E106" s="24">
        <f>E98</f>
        <v>2018</v>
      </c>
    </row>
    <row r="107" spans="1:5" ht="23.25" customHeight="1" x14ac:dyDescent="0.15">
      <c r="A107" s="7" t="s">
        <v>63</v>
      </c>
      <c r="B107" s="76">
        <f>B59/475.917</f>
        <v>0.93634394232607798</v>
      </c>
      <c r="C107" s="76">
        <f>+C59/730.4</f>
        <v>0.90686883899233295</v>
      </c>
      <c r="D107" s="76">
        <f>+D59/707.859</f>
        <v>0.87386753576630372</v>
      </c>
      <c r="E107" s="76">
        <f>+E59/717.311</f>
        <v>0.84792788623065851</v>
      </c>
    </row>
    <row r="108" spans="1:5" ht="23.25" customHeight="1" x14ac:dyDescent="0.15">
      <c r="A108" s="73" t="s">
        <v>64</v>
      </c>
      <c r="B108" s="131">
        <f>B41/B36</f>
        <v>24.21160883280757</v>
      </c>
      <c r="C108" s="131">
        <f>C41/C36</f>
        <v>9.9699151257956942</v>
      </c>
      <c r="D108" s="131">
        <f>D41/D36</f>
        <v>2.9634380067816597</v>
      </c>
      <c r="E108" s="131">
        <f>E41/E36</f>
        <v>3.614760299883073</v>
      </c>
    </row>
    <row r="109" spans="1:5" ht="23.25" customHeight="1" x14ac:dyDescent="0.15">
      <c r="A109" s="7"/>
      <c r="B109" s="134"/>
      <c r="C109" s="134"/>
      <c r="D109" s="134"/>
      <c r="E109" s="134"/>
    </row>
    <row r="110" spans="1:5" ht="23.25" customHeight="1" x14ac:dyDescent="0.15">
      <c r="A110" s="14"/>
      <c r="C110" s="77"/>
      <c r="D110" s="77"/>
      <c r="E110" s="77"/>
    </row>
    <row r="111" spans="1:5" ht="23.25" customHeight="1" x14ac:dyDescent="0.15">
      <c r="A111" s="5" t="s">
        <v>65</v>
      </c>
      <c r="B111" s="24">
        <f>B98</f>
        <v>2015</v>
      </c>
      <c r="C111" s="24">
        <f>C98</f>
        <v>2016</v>
      </c>
      <c r="D111" s="24">
        <f>D98</f>
        <v>2017</v>
      </c>
      <c r="E111" s="24">
        <f>E98</f>
        <v>2018</v>
      </c>
    </row>
    <row r="112" spans="1:5" ht="23.25" customHeight="1" x14ac:dyDescent="0.15">
      <c r="A112" s="7" t="s">
        <v>66</v>
      </c>
      <c r="B112" s="78">
        <f>B83/B18</f>
        <v>8.8561571125265388</v>
      </c>
      <c r="C112" s="78">
        <f>C83/C18</f>
        <v>7.2967856313712245</v>
      </c>
      <c r="D112" s="78">
        <f>D83/D18</f>
        <v>5.1367060470094277</v>
      </c>
      <c r="E112" s="78">
        <f>E83/E18</f>
        <v>5.3547981287101489</v>
      </c>
    </row>
    <row r="113" spans="1:6" ht="23.25" customHeight="1" x14ac:dyDescent="0.15">
      <c r="A113" s="73" t="s">
        <v>67</v>
      </c>
      <c r="B113" s="121">
        <f>(B65+B66+B67+B82+B71)/(B68+B69+B81)</f>
        <v>0.84835287094323231</v>
      </c>
      <c r="C113" s="121">
        <f>(C65+C66+C67+C82+C71)/(C68+C69+C81)</f>
        <v>0.82622668749876382</v>
      </c>
      <c r="D113" s="121">
        <f>(D65+D66+D67+D82+D71)/(D68+D69+D81)</f>
        <v>1.0115802843552757</v>
      </c>
      <c r="E113" s="121">
        <f>(E65+E66+E67+E82+E71)/(E68+E69+E81)</f>
        <v>1.2630475639728209</v>
      </c>
    </row>
    <row r="114" spans="1:6" ht="23.25" customHeight="1" x14ac:dyDescent="0.15">
      <c r="C114" s="77"/>
      <c r="D114" s="77"/>
      <c r="E114" s="77"/>
    </row>
    <row r="115" spans="1:6" ht="23.25" customHeight="1" x14ac:dyDescent="0.15">
      <c r="A115" s="14"/>
      <c r="C115" s="79"/>
      <c r="D115" s="79"/>
      <c r="E115" s="79"/>
    </row>
    <row r="116" spans="1:6" ht="23.25" customHeight="1" x14ac:dyDescent="0.15">
      <c r="A116" s="72" t="s">
        <v>68</v>
      </c>
      <c r="B116" s="24">
        <f>B7</f>
        <v>2015</v>
      </c>
      <c r="C116" s="24">
        <f>C7</f>
        <v>2016</v>
      </c>
      <c r="D116" s="24">
        <f>D7</f>
        <v>2017</v>
      </c>
      <c r="E116" s="24">
        <f>E7</f>
        <v>2018</v>
      </c>
    </row>
    <row r="117" spans="1:6" ht="23.25" customHeight="1" x14ac:dyDescent="0.15">
      <c r="A117" s="80" t="s">
        <v>69</v>
      </c>
      <c r="B117" s="28">
        <f>H20* (1-B125)</f>
        <v>0.22692178226592249</v>
      </c>
      <c r="C117" s="28">
        <f>I20* (1-C125)</f>
        <v>2.9567269197065711E-2</v>
      </c>
      <c r="D117" s="28">
        <f>J20* (1-D125)</f>
        <v>8.9740448947119383E-2</v>
      </c>
      <c r="E117" s="28">
        <f>K20* (1-E125)</f>
        <v>8.784459136110026E-2</v>
      </c>
    </row>
    <row r="118" spans="1:6" ht="23.25" customHeight="1" x14ac:dyDescent="0.15">
      <c r="A118" s="81" t="s">
        <v>70</v>
      </c>
      <c r="B118" s="82"/>
      <c r="C118" s="82"/>
      <c r="D118" s="82"/>
      <c r="E118" s="82"/>
    </row>
    <row r="119" spans="1:6" ht="23.25" customHeight="1" x14ac:dyDescent="0.15">
      <c r="A119" s="81" t="s">
        <v>71</v>
      </c>
      <c r="B119" s="83">
        <f>B8/(B74-B61)</f>
        <v>0.12405315867959059</v>
      </c>
      <c r="C119" s="83">
        <f>C8/(C74-C61)</f>
        <v>0.17007328504816238</v>
      </c>
      <c r="D119" s="83">
        <f>D8/(D74-D61)</f>
        <v>0.24315836938900398</v>
      </c>
      <c r="E119" s="83">
        <f>E8/(E74-E61)</f>
        <v>0.23804817886423116</v>
      </c>
    </row>
    <row r="120" spans="1:6" ht="23.25" customHeight="1" x14ac:dyDescent="0.15">
      <c r="A120" s="84" t="s">
        <v>72</v>
      </c>
      <c r="B120" s="85">
        <f>B117*B119</f>
        <v>2.8150363863289989E-2</v>
      </c>
      <c r="C120" s="85">
        <f>C117*C119</f>
        <v>5.0286026022483077E-3</v>
      </c>
      <c r="D120" s="85">
        <f>D117*D119</f>
        <v>2.1821141234218709E-2</v>
      </c>
      <c r="E120" s="85">
        <f t="shared" ref="E120" si="22">E117*E119</f>
        <v>2.0911244996582489E-2</v>
      </c>
    </row>
    <row r="121" spans="1:6" ht="23.25" customHeight="1" x14ac:dyDescent="0.15">
      <c r="A121" s="86" t="s">
        <v>73</v>
      </c>
      <c r="B121" s="28">
        <f>B21/B83*(1-B125)</f>
        <v>3.972394450611369E-2</v>
      </c>
      <c r="C121" s="28">
        <f>C21/C83*(1-C125)</f>
        <v>1.0191293342406003E-2</v>
      </c>
      <c r="D121" s="28">
        <f>D21/D83*(1-D125)</f>
        <v>3.2623738401721447E-2</v>
      </c>
      <c r="E121" s="28">
        <f>E21/E83*(1-E125)</f>
        <v>2.6328285704319526E-2</v>
      </c>
    </row>
    <row r="122" spans="1:6" ht="23.25" customHeight="1" x14ac:dyDescent="0.15">
      <c r="A122" s="7" t="s">
        <v>74</v>
      </c>
      <c r="B122" s="78">
        <f>B83/B79</f>
        <v>1.2680498556011552</v>
      </c>
      <c r="C122" s="78">
        <f>C83/C79</f>
        <v>0.81435375367453067</v>
      </c>
      <c r="D122" s="78">
        <f>D83/D79</f>
        <v>0.96265933619454891</v>
      </c>
      <c r="E122" s="78">
        <f>E83/E79</f>
        <v>1.0977329690610318</v>
      </c>
    </row>
    <row r="123" spans="1:6" ht="23.25" customHeight="1" x14ac:dyDescent="0.15">
      <c r="A123" s="18" t="s">
        <v>75</v>
      </c>
      <c r="B123" s="29">
        <f>+(B27-B23)/B79</f>
        <v>2.1237080103359167E-2</v>
      </c>
      <c r="C123" s="29">
        <f>+(C27-C23)/C79</f>
        <v>1.3873709203286379E-3</v>
      </c>
      <c r="D123" s="29">
        <f>+(D27-D23)/D79</f>
        <v>8.9873713931582517E-3</v>
      </c>
      <c r="E123" s="29">
        <f>+(E27-E23)/E79</f>
        <v>1.6010788477604967E-2</v>
      </c>
    </row>
    <row r="124" spans="1:6" ht="23.25" customHeight="1" x14ac:dyDescent="0.15">
      <c r="A124" s="7" t="s">
        <v>76</v>
      </c>
      <c r="B124" s="76">
        <f>(B123-B120)/B123</f>
        <v>-0.32552892046761722</v>
      </c>
      <c r="C124" s="76">
        <f>(C123-C120)/C123</f>
        <v>-2.6245552855159611</v>
      </c>
      <c r="D124" s="76">
        <f>(D123-D120)/D123</f>
        <v>-1.4279781350562997</v>
      </c>
      <c r="E124" s="76">
        <f t="shared" ref="E124" si="23">(E123-E120)/E123</f>
        <v>-0.30607215414981076</v>
      </c>
    </row>
    <row r="125" spans="1:6" ht="23.25" customHeight="1" x14ac:dyDescent="0.15">
      <c r="A125" s="73" t="s">
        <v>84</v>
      </c>
      <c r="B125" s="75">
        <f>B25/B24</f>
        <v>0.40187793427230062</v>
      </c>
      <c r="C125" s="75">
        <f>C25/C24</f>
        <v>0.89018464528668584</v>
      </c>
      <c r="D125" s="75">
        <f>D25/D24</f>
        <v>0.64456920751457647</v>
      </c>
      <c r="E125" s="75">
        <f>E25/E24</f>
        <v>0.6640060153855063</v>
      </c>
    </row>
    <row r="126" spans="1:6" ht="23.25" customHeight="1" x14ac:dyDescent="0.15">
      <c r="A126" s="87"/>
      <c r="B126" s="19"/>
      <c r="C126" s="88"/>
      <c r="D126" s="88"/>
      <c r="E126" s="88"/>
    </row>
    <row r="127" spans="1:6" ht="23.25" customHeight="1" x14ac:dyDescent="0.15">
      <c r="B127" s="20"/>
      <c r="C127" s="20"/>
      <c r="D127" s="20"/>
      <c r="E127" s="20"/>
    </row>
    <row r="128" spans="1:6" ht="23.25" customHeight="1" x14ac:dyDescent="0.15">
      <c r="A128" s="89" t="s">
        <v>86</v>
      </c>
      <c r="B128" s="90">
        <v>2015</v>
      </c>
      <c r="C128" s="90">
        <v>2016</v>
      </c>
      <c r="D128" s="90">
        <v>2017</v>
      </c>
      <c r="E128" s="90">
        <f>D128+1</f>
        <v>2018</v>
      </c>
      <c r="F128" s="90">
        <f>E128+1</f>
        <v>2019</v>
      </c>
    </row>
    <row r="129" spans="1:6" ht="23.25" customHeight="1" x14ac:dyDescent="0.15">
      <c r="A129" s="102" t="s">
        <v>90</v>
      </c>
      <c r="B129" s="98">
        <v>9</v>
      </c>
      <c r="C129" s="98">
        <v>8.5</v>
      </c>
      <c r="D129" s="98">
        <v>11.4</v>
      </c>
      <c r="E129" s="98">
        <v>10.3</v>
      </c>
      <c r="F129" s="98">
        <v>11</v>
      </c>
    </row>
    <row r="130" spans="1:6" ht="23.25" customHeight="1" x14ac:dyDescent="0.15">
      <c r="A130" s="102" t="s">
        <v>91</v>
      </c>
      <c r="B130" s="98">
        <v>6.7</v>
      </c>
      <c r="C130" s="98">
        <v>6.9</v>
      </c>
      <c r="D130" s="98">
        <v>8.4</v>
      </c>
      <c r="E130" s="98">
        <v>7</v>
      </c>
      <c r="F130" s="98">
        <v>7.8</v>
      </c>
    </row>
    <row r="131" spans="1:6" ht="23.25" customHeight="1" x14ac:dyDescent="0.15">
      <c r="A131" s="102" t="s">
        <v>92</v>
      </c>
      <c r="B131" s="98">
        <v>6.8</v>
      </c>
      <c r="C131" s="98">
        <v>8.1</v>
      </c>
      <c r="D131" s="98">
        <v>10</v>
      </c>
      <c r="E131" s="98">
        <v>7.8</v>
      </c>
      <c r="F131" s="98">
        <v>11.2</v>
      </c>
    </row>
    <row r="132" spans="1:6" ht="23.25" customHeight="1" x14ac:dyDescent="0.15">
      <c r="A132" s="14" t="s">
        <v>119</v>
      </c>
      <c r="B132" s="95">
        <v>26.2</v>
      </c>
      <c r="C132" s="95">
        <v>48.9</v>
      </c>
      <c r="D132" s="95">
        <v>48.9</v>
      </c>
      <c r="E132" s="97">
        <v>48.9</v>
      </c>
      <c r="F132" s="97">
        <v>48.9</v>
      </c>
    </row>
    <row r="133" spans="1:6" ht="23.25" customHeight="1" x14ac:dyDescent="0.15">
      <c r="A133" s="92" t="s">
        <v>85</v>
      </c>
      <c r="B133" s="93">
        <f>(B29-B23)/B132</f>
        <v>0.1453816793893129</v>
      </c>
      <c r="C133" s="93">
        <f>(C29-C23)/C132</f>
        <v>3.3680981595092051E-2</v>
      </c>
      <c r="D133" s="93">
        <f>(D29-D23)/D132</f>
        <v>1.1574642126789127E-2</v>
      </c>
      <c r="E133" s="93">
        <f>(E29-E23)/E132</f>
        <v>0.1743353783231078</v>
      </c>
      <c r="F133" s="93" t="s">
        <v>34</v>
      </c>
    </row>
    <row r="134" spans="1:6" ht="23.25" customHeight="1" x14ac:dyDescent="0.15">
      <c r="A134" s="7" t="s">
        <v>77</v>
      </c>
      <c r="B134" s="94">
        <f>B133/0.245-1</f>
        <v>-0.40660539024770248</v>
      </c>
      <c r="C134" s="94">
        <f>C133/B133-1</f>
        <v>-0.76832719406893879</v>
      </c>
      <c r="D134" s="94">
        <f>D133/C133-1</f>
        <v>-0.65634486945963089</v>
      </c>
      <c r="E134" s="94">
        <f>E133/D133-1</f>
        <v>14.061837455830648</v>
      </c>
      <c r="F134" s="94" t="s">
        <v>34</v>
      </c>
    </row>
    <row r="135" spans="1:6" ht="23.25" customHeight="1" x14ac:dyDescent="0.15">
      <c r="A135" s="14" t="s">
        <v>78</v>
      </c>
      <c r="B135" s="91">
        <f t="shared" ref="B135:D135" si="24">B131/B133</f>
        <v>46.773431346810213</v>
      </c>
      <c r="C135" s="91">
        <f t="shared" si="24"/>
        <v>240.49180327868834</v>
      </c>
      <c r="D135" s="91">
        <f t="shared" si="24"/>
        <v>863.95759717316264</v>
      </c>
      <c r="E135" s="91">
        <f>E131/E133</f>
        <v>44.741348973607188</v>
      </c>
      <c r="F135" s="91" t="s">
        <v>34</v>
      </c>
    </row>
    <row r="136" spans="1:6" ht="23.25" customHeight="1" x14ac:dyDescent="0.15">
      <c r="A136" s="14" t="s">
        <v>79</v>
      </c>
      <c r="B136" s="95">
        <f>(B141+B83)/B18</f>
        <v>14.766454352441615</v>
      </c>
      <c r="C136" s="95">
        <f>(C141+C83)/C18</f>
        <v>15.656465671893796</v>
      </c>
      <c r="D136" s="95">
        <f>(D141+D83)/D18</f>
        <v>11.846457827357677</v>
      </c>
      <c r="E136" s="95">
        <f>(E141+E83)/E18</f>
        <v>10.353029052168104</v>
      </c>
      <c r="F136" s="95" t="s">
        <v>34</v>
      </c>
    </row>
    <row r="137" spans="1:6" ht="23.25" customHeight="1" x14ac:dyDescent="0.15">
      <c r="A137" s="14" t="s">
        <v>80</v>
      </c>
      <c r="B137" s="95">
        <f>(B141+B83)/B20</f>
        <v>20.033304829200237</v>
      </c>
      <c r="C137" s="95">
        <f>(C141+C83)/C20</f>
        <v>21.700131636682752</v>
      </c>
      <c r="D137" s="95">
        <f>(D141+D83)/D20</f>
        <v>18.872450652501808</v>
      </c>
      <c r="E137" s="97">
        <f>(E141+E83)/E20</f>
        <v>16.726652975673794</v>
      </c>
      <c r="F137" s="97" t="s">
        <v>34</v>
      </c>
    </row>
    <row r="138" spans="1:6" ht="23.25" customHeight="1" x14ac:dyDescent="0.15">
      <c r="A138" s="92" t="s">
        <v>81</v>
      </c>
      <c r="B138" s="93">
        <v>0</v>
      </c>
      <c r="C138" s="93">
        <v>0</v>
      </c>
      <c r="D138" s="93">
        <v>0</v>
      </c>
      <c r="E138" s="98">
        <v>0</v>
      </c>
      <c r="F138" s="98">
        <v>0</v>
      </c>
    </row>
    <row r="139" spans="1:6" ht="23.25" customHeight="1" x14ac:dyDescent="0.15">
      <c r="A139" s="14" t="s">
        <v>82</v>
      </c>
      <c r="B139" s="96">
        <v>0</v>
      </c>
      <c r="C139" s="96">
        <f t="shared" ref="C139:E139" si="25">B138/C131</f>
        <v>0</v>
      </c>
      <c r="D139" s="96">
        <f t="shared" si="25"/>
        <v>0</v>
      </c>
      <c r="E139" s="96">
        <f t="shared" si="25"/>
        <v>0</v>
      </c>
      <c r="F139" s="96">
        <f>E138/F131</f>
        <v>0</v>
      </c>
    </row>
    <row r="140" spans="1:6" ht="23.25" customHeight="1" x14ac:dyDescent="0.15">
      <c r="A140" s="73" t="s">
        <v>83</v>
      </c>
      <c r="B140" s="104">
        <f>B138/B133</f>
        <v>0</v>
      </c>
      <c r="C140" s="104">
        <f>C138/C133</f>
        <v>0</v>
      </c>
      <c r="D140" s="104">
        <f>D138/D133</f>
        <v>0</v>
      </c>
      <c r="E140" s="104">
        <f>E138/E133</f>
        <v>0</v>
      </c>
      <c r="F140" s="104">
        <v>0</v>
      </c>
    </row>
    <row r="141" spans="1:6" ht="23.25" customHeight="1" x14ac:dyDescent="0.15">
      <c r="A141" s="14" t="s">
        <v>117</v>
      </c>
      <c r="B141" s="99">
        <f t="shared" ref="B141:D141" si="26">B132*B131</f>
        <v>178.16</v>
      </c>
      <c r="C141" s="99">
        <f t="shared" si="26"/>
        <v>396.09</v>
      </c>
      <c r="D141" s="99">
        <f t="shared" si="26"/>
        <v>489</v>
      </c>
      <c r="E141" s="99">
        <f>E132*E131</f>
        <v>381.41999999999996</v>
      </c>
      <c r="F141" s="99">
        <f>F132*F131</f>
        <v>547.67999999999995</v>
      </c>
    </row>
    <row r="142" spans="1:6" ht="23.25" customHeight="1" x14ac:dyDescent="0.15">
      <c r="A142" s="14" t="s">
        <v>116</v>
      </c>
      <c r="B142" s="91">
        <f>B75</f>
        <v>153.6</v>
      </c>
      <c r="C142" s="91">
        <f t="shared" ref="C142:E142" si="27">C75</f>
        <v>349.81900000000002</v>
      </c>
      <c r="D142" s="91">
        <f t="shared" si="27"/>
        <v>321.60000000000002</v>
      </c>
      <c r="E142" s="91">
        <f t="shared" si="27"/>
        <v>317.32400000000001</v>
      </c>
      <c r="F142" s="91" t="s">
        <v>34</v>
      </c>
    </row>
    <row r="143" spans="1:6" ht="23.25" customHeight="1" x14ac:dyDescent="0.15">
      <c r="A143" s="73" t="s">
        <v>118</v>
      </c>
      <c r="B143" s="97">
        <f t="shared" ref="B143:D143" si="28">B141/B142</f>
        <v>1.1598958333333333</v>
      </c>
      <c r="C143" s="97">
        <f t="shared" si="28"/>
        <v>1.1322712602803162</v>
      </c>
      <c r="D143" s="97">
        <f t="shared" si="28"/>
        <v>1.5205223880597014</v>
      </c>
      <c r="E143" s="97">
        <f t="shared" ref="E143" si="29">E141/E142</f>
        <v>1.2019891341341971</v>
      </c>
      <c r="F143" s="97" t="s">
        <v>34</v>
      </c>
    </row>
    <row r="144" spans="1:6" ht="23.25" customHeight="1" x14ac:dyDescent="0.15">
      <c r="B144" s="20"/>
      <c r="C144" s="20"/>
      <c r="D144" s="20"/>
      <c r="E144" s="20"/>
    </row>
    <row r="145" spans="2:5" ht="23.25" customHeight="1" x14ac:dyDescent="0.15">
      <c r="B145" s="20"/>
      <c r="C145" s="20"/>
      <c r="D145" s="20"/>
      <c r="E145" s="20"/>
    </row>
    <row r="146" spans="2:5" ht="23.25" customHeight="1" x14ac:dyDescent="0.15">
      <c r="B146" s="20"/>
      <c r="C146" s="20"/>
      <c r="D146" s="20"/>
      <c r="E146" s="20"/>
    </row>
    <row r="147" spans="2:5" ht="23.25" customHeight="1" x14ac:dyDescent="0.15">
      <c r="B147" s="20"/>
      <c r="C147" s="20"/>
      <c r="D147" s="20"/>
      <c r="E147" s="20"/>
    </row>
    <row r="148" spans="2:5" ht="23.25" customHeight="1" x14ac:dyDescent="0.15">
      <c r="B148" s="20"/>
      <c r="C148" s="20"/>
      <c r="D148" s="20"/>
      <c r="E148" s="20"/>
    </row>
    <row r="149" spans="2:5" ht="23.25" customHeight="1" x14ac:dyDescent="0.15">
      <c r="B149" s="20"/>
      <c r="C149" s="20"/>
      <c r="D149" s="20"/>
      <c r="E149" s="20"/>
    </row>
    <row r="150" spans="2:5" ht="23.25" customHeight="1" x14ac:dyDescent="0.15">
      <c r="B150" s="20"/>
      <c r="C150" s="20"/>
      <c r="D150" s="20"/>
      <c r="E150" s="20"/>
    </row>
    <row r="151" spans="2:5" ht="23.25" customHeight="1" x14ac:dyDescent="0.15">
      <c r="B151" s="20"/>
      <c r="C151" s="20"/>
      <c r="D151" s="20"/>
      <c r="E151" s="20"/>
    </row>
    <row r="152" spans="2:5" ht="23.25" customHeight="1" x14ac:dyDescent="0.15">
      <c r="B152" s="20"/>
      <c r="C152" s="20"/>
      <c r="D152" s="20"/>
      <c r="E152" s="20"/>
    </row>
    <row r="153" spans="2:5" ht="23.25" customHeight="1" x14ac:dyDescent="0.15">
      <c r="B153" s="20"/>
      <c r="C153" s="20"/>
      <c r="D153" s="20"/>
      <c r="E153" s="20"/>
    </row>
    <row r="154" spans="2:5" ht="23.25" customHeight="1" x14ac:dyDescent="0.15">
      <c r="B154" s="20"/>
      <c r="C154" s="20"/>
      <c r="D154" s="20"/>
      <c r="E154" s="20"/>
    </row>
    <row r="155" spans="2:5" ht="23.25" customHeight="1" x14ac:dyDescent="0.15">
      <c r="B155" s="20"/>
      <c r="C155" s="20"/>
      <c r="D155" s="20"/>
      <c r="E155" s="20"/>
    </row>
    <row r="156" spans="2:5" ht="23.25" customHeight="1" x14ac:dyDescent="0.15">
      <c r="B156" s="20"/>
      <c r="C156" s="20"/>
      <c r="D156" s="20"/>
      <c r="E156" s="20"/>
    </row>
    <row r="157" spans="2:5" ht="23.25" customHeight="1" x14ac:dyDescent="0.15">
      <c r="B157" s="20"/>
      <c r="C157" s="20"/>
      <c r="D157" s="20"/>
      <c r="E157" s="20"/>
    </row>
    <row r="158" spans="2:5" ht="23.25" customHeight="1" x14ac:dyDescent="0.15">
      <c r="B158" s="20"/>
      <c r="C158" s="20"/>
      <c r="D158" s="20"/>
      <c r="E158" s="20"/>
    </row>
    <row r="159" spans="2:5" ht="23.25" customHeight="1" x14ac:dyDescent="0.15">
      <c r="B159" s="20"/>
      <c r="C159" s="20"/>
      <c r="D159" s="20"/>
      <c r="E159" s="20"/>
    </row>
    <row r="160" spans="2:5" ht="23.25" customHeight="1" x14ac:dyDescent="0.15">
      <c r="B160" s="20"/>
      <c r="C160" s="20"/>
      <c r="D160" s="20"/>
      <c r="E160" s="20"/>
    </row>
    <row r="161" spans="2:5" ht="23.25" customHeight="1" x14ac:dyDescent="0.15">
      <c r="B161" s="20"/>
      <c r="C161" s="20"/>
      <c r="D161" s="20"/>
      <c r="E161" s="20"/>
    </row>
    <row r="162" spans="2:5" ht="23.25" customHeight="1" x14ac:dyDescent="0.15">
      <c r="B162" s="20"/>
      <c r="C162" s="20"/>
      <c r="D162" s="20"/>
      <c r="E162" s="20"/>
    </row>
    <row r="163" spans="2:5" ht="23.25" customHeight="1" x14ac:dyDescent="0.15">
      <c r="B163" s="20"/>
      <c r="C163" s="20"/>
      <c r="D163" s="20"/>
      <c r="E163" s="20"/>
    </row>
    <row r="164" spans="2:5" ht="23.25" customHeight="1" x14ac:dyDescent="0.15">
      <c r="B164" s="20"/>
      <c r="C164" s="20"/>
      <c r="D164" s="20"/>
      <c r="E164" s="20"/>
    </row>
    <row r="165" spans="2:5" ht="23.25" customHeight="1" x14ac:dyDescent="0.15">
      <c r="B165" s="20"/>
      <c r="C165" s="20"/>
      <c r="D165" s="20"/>
      <c r="E165" s="20"/>
    </row>
    <row r="166" spans="2:5" ht="23.25" customHeight="1" x14ac:dyDescent="0.15">
      <c r="B166" s="20"/>
      <c r="C166" s="20"/>
      <c r="D166" s="20"/>
      <c r="E166" s="20"/>
    </row>
    <row r="167" spans="2:5" ht="23.25" customHeight="1" x14ac:dyDescent="0.15">
      <c r="B167" s="20"/>
      <c r="C167" s="20"/>
      <c r="D167" s="20"/>
      <c r="E167" s="20"/>
    </row>
    <row r="168" spans="2:5" ht="23.25" customHeight="1" x14ac:dyDescent="0.15">
      <c r="B168" s="20"/>
      <c r="C168" s="20"/>
      <c r="D168" s="20"/>
      <c r="E168" s="20"/>
    </row>
    <row r="169" spans="2:5" ht="23.25" customHeight="1" x14ac:dyDescent="0.15">
      <c r="B169" s="20"/>
      <c r="C169" s="20"/>
      <c r="D169" s="20"/>
      <c r="E169" s="20"/>
    </row>
    <row r="170" spans="2:5" ht="23.25" customHeight="1" x14ac:dyDescent="0.15">
      <c r="B170" s="20"/>
      <c r="C170" s="20"/>
      <c r="D170" s="20"/>
      <c r="E170" s="20"/>
    </row>
    <row r="171" spans="2:5" ht="23.25" customHeight="1" x14ac:dyDescent="0.15">
      <c r="B171" s="20"/>
      <c r="C171" s="20"/>
      <c r="D171" s="20"/>
      <c r="E171" s="20"/>
    </row>
    <row r="172" spans="2:5" ht="23.25" customHeight="1" x14ac:dyDescent="0.15">
      <c r="B172" s="20"/>
      <c r="C172" s="20"/>
      <c r="D172" s="20"/>
      <c r="E172" s="20"/>
    </row>
    <row r="173" spans="2:5" ht="23.25" customHeight="1" x14ac:dyDescent="0.15">
      <c r="B173" s="20"/>
      <c r="C173" s="20"/>
      <c r="D173" s="20"/>
      <c r="E173" s="20"/>
    </row>
    <row r="174" spans="2:5" ht="23.25" customHeight="1" x14ac:dyDescent="0.15">
      <c r="B174" s="20"/>
      <c r="C174" s="20"/>
      <c r="D174" s="20"/>
      <c r="E174" s="20"/>
    </row>
    <row r="175" spans="2:5" ht="23.25" customHeight="1" x14ac:dyDescent="0.15">
      <c r="B175" s="20"/>
      <c r="C175" s="20"/>
      <c r="D175" s="20"/>
      <c r="E175" s="20"/>
    </row>
    <row r="176" spans="2:5" ht="23.25" customHeight="1" x14ac:dyDescent="0.15">
      <c r="B176" s="20"/>
      <c r="C176" s="20"/>
      <c r="D176" s="20"/>
      <c r="E176" s="20"/>
    </row>
    <row r="177" spans="2:5" ht="23.25" customHeight="1" x14ac:dyDescent="0.15">
      <c r="B177" s="20"/>
      <c r="C177" s="20"/>
      <c r="D177" s="20"/>
      <c r="E177" s="20"/>
    </row>
    <row r="178" spans="2:5" ht="23.25" customHeight="1" x14ac:dyDescent="0.15">
      <c r="B178" s="20"/>
      <c r="C178" s="20"/>
      <c r="D178" s="20"/>
      <c r="E178" s="20"/>
    </row>
    <row r="179" spans="2:5" ht="23.25" customHeight="1" x14ac:dyDescent="0.15">
      <c r="B179" s="20"/>
      <c r="C179" s="20"/>
      <c r="D179" s="20"/>
      <c r="E179" s="20"/>
    </row>
    <row r="180" spans="2:5" ht="23.25" customHeight="1" x14ac:dyDescent="0.15">
      <c r="B180" s="20"/>
      <c r="C180" s="20"/>
      <c r="D180" s="20"/>
      <c r="E180" s="20"/>
    </row>
    <row r="181" spans="2:5" ht="23.25" customHeight="1" x14ac:dyDescent="0.15">
      <c r="B181" s="20"/>
      <c r="C181" s="20"/>
      <c r="D181" s="20"/>
      <c r="E181" s="20"/>
    </row>
    <row r="182" spans="2:5" ht="23.25" customHeight="1" x14ac:dyDescent="0.15">
      <c r="B182" s="20"/>
      <c r="C182" s="20"/>
      <c r="D182" s="20"/>
      <c r="E182" s="20"/>
    </row>
    <row r="183" spans="2:5" ht="23.25" customHeight="1" x14ac:dyDescent="0.15">
      <c r="B183" s="20"/>
      <c r="C183" s="20"/>
      <c r="D183" s="20"/>
      <c r="E183" s="20"/>
    </row>
    <row r="184" spans="2:5" ht="23.25" customHeight="1" x14ac:dyDescent="0.15">
      <c r="B184" s="20"/>
      <c r="C184" s="20"/>
      <c r="D184" s="20"/>
      <c r="E184" s="20"/>
    </row>
    <row r="185" spans="2:5" ht="23.25" customHeight="1" x14ac:dyDescent="0.15">
      <c r="B185" s="20"/>
      <c r="C185" s="20"/>
      <c r="D185" s="20"/>
      <c r="E185" s="20"/>
    </row>
    <row r="186" spans="2:5" ht="23.25" customHeight="1" x14ac:dyDescent="0.15">
      <c r="B186" s="20"/>
      <c r="C186" s="20"/>
      <c r="D186" s="20"/>
      <c r="E186" s="20"/>
    </row>
    <row r="187" spans="2:5" ht="23.25" customHeight="1" x14ac:dyDescent="0.15">
      <c r="B187" s="20"/>
      <c r="C187" s="20"/>
      <c r="D187" s="20"/>
      <c r="E187" s="20"/>
    </row>
    <row r="188" spans="2:5" ht="23.25" customHeight="1" x14ac:dyDescent="0.15">
      <c r="B188" s="20"/>
      <c r="C188" s="20"/>
      <c r="D188" s="20"/>
      <c r="E188" s="20"/>
    </row>
    <row r="189" spans="2:5" ht="23.25" customHeight="1" x14ac:dyDescent="0.15">
      <c r="B189" s="20"/>
      <c r="C189" s="20"/>
      <c r="D189" s="20"/>
      <c r="E189" s="20"/>
    </row>
    <row r="190" spans="2:5" ht="23.25" customHeight="1" x14ac:dyDescent="0.15">
      <c r="B190" s="20"/>
      <c r="C190" s="20"/>
      <c r="D190" s="20"/>
      <c r="E190" s="20"/>
    </row>
    <row r="191" spans="2:5" ht="23.25" customHeight="1" x14ac:dyDescent="0.15">
      <c r="B191" s="20"/>
      <c r="C191" s="20"/>
      <c r="D191" s="20"/>
      <c r="E191" s="20"/>
    </row>
    <row r="192" spans="2:5" ht="23.25" customHeight="1" x14ac:dyDescent="0.15">
      <c r="B192" s="20"/>
      <c r="C192" s="20"/>
      <c r="D192" s="20"/>
      <c r="E192" s="20"/>
    </row>
    <row r="193" spans="2:5" ht="23.25" customHeight="1" x14ac:dyDescent="0.15">
      <c r="B193" s="20"/>
      <c r="C193" s="20"/>
      <c r="D193" s="20"/>
      <c r="E193" s="20"/>
    </row>
    <row r="194" spans="2:5" ht="23.25" customHeight="1" x14ac:dyDescent="0.15">
      <c r="B194" s="20"/>
      <c r="C194" s="20"/>
      <c r="D194" s="20"/>
      <c r="E194" s="20"/>
    </row>
    <row r="195" spans="2:5" ht="23.25" customHeight="1" x14ac:dyDescent="0.15">
      <c r="B195" s="20"/>
      <c r="C195" s="20"/>
      <c r="D195" s="20"/>
      <c r="E195" s="20"/>
    </row>
    <row r="196" spans="2:5" ht="23.25" customHeight="1" x14ac:dyDescent="0.15">
      <c r="B196" s="20"/>
      <c r="C196" s="20"/>
      <c r="D196" s="20"/>
      <c r="E196" s="20"/>
    </row>
    <row r="197" spans="2:5" ht="23.25" customHeight="1" x14ac:dyDescent="0.15">
      <c r="B197" s="20"/>
      <c r="C197" s="20"/>
      <c r="D197" s="20"/>
      <c r="E197" s="20"/>
    </row>
    <row r="198" spans="2:5" ht="23.25" customHeight="1" x14ac:dyDescent="0.15">
      <c r="B198" s="20"/>
      <c r="C198" s="20"/>
      <c r="D198" s="20"/>
      <c r="E198" s="20"/>
    </row>
    <row r="199" spans="2:5" ht="23.25" customHeight="1" x14ac:dyDescent="0.15">
      <c r="B199" s="20"/>
      <c r="C199" s="20"/>
      <c r="D199" s="20"/>
      <c r="E199" s="20"/>
    </row>
    <row r="200" spans="2:5" ht="23.25" customHeight="1" x14ac:dyDescent="0.15">
      <c r="B200" s="20"/>
      <c r="C200" s="20"/>
      <c r="D200" s="20"/>
      <c r="E200" s="20"/>
    </row>
    <row r="201" spans="2:5" ht="23.25" customHeight="1" x14ac:dyDescent="0.15">
      <c r="B201" s="20"/>
      <c r="C201" s="20"/>
      <c r="D201" s="20"/>
      <c r="E201" s="20"/>
    </row>
    <row r="202" spans="2:5" ht="23.25" customHeight="1" x14ac:dyDescent="0.15">
      <c r="B202" s="20"/>
      <c r="C202" s="20"/>
      <c r="D202" s="20"/>
      <c r="E202" s="20"/>
    </row>
    <row r="203" spans="2:5" ht="23.25" customHeight="1" x14ac:dyDescent="0.15">
      <c r="B203" s="20"/>
      <c r="C203" s="20"/>
      <c r="D203" s="20"/>
      <c r="E203" s="20"/>
    </row>
    <row r="204" spans="2:5" ht="23.25" customHeight="1" x14ac:dyDescent="0.15">
      <c r="B204" s="20"/>
      <c r="C204" s="20"/>
      <c r="D204" s="20"/>
      <c r="E204" s="20"/>
    </row>
    <row r="205" spans="2:5" ht="23.25" customHeight="1" x14ac:dyDescent="0.15">
      <c r="B205" s="20"/>
      <c r="C205" s="20"/>
      <c r="D205" s="20"/>
      <c r="E205" s="20"/>
    </row>
    <row r="206" spans="2:5" ht="23.25" customHeight="1" x14ac:dyDescent="0.15">
      <c r="B206" s="20"/>
      <c r="C206" s="20"/>
      <c r="D206" s="20"/>
      <c r="E206" s="20"/>
    </row>
    <row r="207" spans="2:5" ht="23.25" customHeight="1" x14ac:dyDescent="0.15">
      <c r="B207" s="20"/>
      <c r="C207" s="20"/>
      <c r="D207" s="20"/>
      <c r="E207" s="20"/>
    </row>
    <row r="208" spans="2:5" ht="23.25" customHeight="1" x14ac:dyDescent="0.15">
      <c r="B208" s="20"/>
      <c r="C208" s="20"/>
      <c r="D208" s="20"/>
      <c r="E208" s="20"/>
    </row>
    <row r="209" spans="2:5" ht="23.25" customHeight="1" x14ac:dyDescent="0.15">
      <c r="B209" s="20"/>
      <c r="C209" s="20"/>
      <c r="D209" s="20"/>
      <c r="E209" s="20"/>
    </row>
    <row r="210" spans="2:5" ht="23.25" customHeight="1" x14ac:dyDescent="0.15">
      <c r="B210" s="20"/>
      <c r="C210" s="20"/>
      <c r="D210" s="20"/>
      <c r="E210" s="20"/>
    </row>
    <row r="211" spans="2:5" ht="23.25" customHeight="1" x14ac:dyDescent="0.15">
      <c r="B211" s="20"/>
      <c r="C211" s="20"/>
      <c r="D211" s="20"/>
      <c r="E211" s="20"/>
    </row>
    <row r="212" spans="2:5" ht="23.25" customHeight="1" x14ac:dyDescent="0.15">
      <c r="B212" s="20"/>
      <c r="C212" s="20"/>
      <c r="D212" s="20"/>
      <c r="E212" s="20"/>
    </row>
    <row r="213" spans="2:5" ht="23.25" customHeight="1" x14ac:dyDescent="0.15">
      <c r="B213" s="20"/>
      <c r="C213" s="20"/>
      <c r="D213" s="20"/>
      <c r="E213" s="20"/>
    </row>
    <row r="214" spans="2:5" ht="23.25" customHeight="1" x14ac:dyDescent="0.15">
      <c r="B214" s="20"/>
      <c r="C214" s="20"/>
      <c r="D214" s="20"/>
      <c r="E214" s="20"/>
    </row>
    <row r="215" spans="2:5" ht="23.25" customHeight="1" x14ac:dyDescent="0.15">
      <c r="B215" s="20"/>
      <c r="C215" s="20"/>
      <c r="D215" s="20"/>
      <c r="E215" s="20"/>
    </row>
    <row r="216" spans="2:5" ht="23.25" customHeight="1" x14ac:dyDescent="0.15">
      <c r="B216" s="20"/>
      <c r="C216" s="20"/>
      <c r="D216" s="20"/>
      <c r="E216" s="20"/>
    </row>
    <row r="217" spans="2:5" ht="23.25" customHeight="1" x14ac:dyDescent="0.15">
      <c r="B217" s="20"/>
      <c r="C217" s="20"/>
      <c r="D217" s="20"/>
      <c r="E217" s="20"/>
    </row>
    <row r="218" spans="2:5" ht="23.25" customHeight="1" x14ac:dyDescent="0.15">
      <c r="B218" s="20"/>
      <c r="C218" s="20"/>
      <c r="D218" s="20"/>
      <c r="E218" s="20"/>
    </row>
    <row r="219" spans="2:5" ht="23.25" customHeight="1" x14ac:dyDescent="0.15">
      <c r="B219" s="20"/>
      <c r="C219" s="20"/>
      <c r="D219" s="20"/>
      <c r="E219" s="20"/>
    </row>
    <row r="220" spans="2:5" ht="23.25" customHeight="1" x14ac:dyDescent="0.15">
      <c r="B220" s="20"/>
      <c r="C220" s="20"/>
      <c r="D220" s="20"/>
      <c r="E220" s="20"/>
    </row>
    <row r="221" spans="2:5" ht="23.25" customHeight="1" x14ac:dyDescent="0.15">
      <c r="B221" s="20"/>
      <c r="C221" s="20"/>
      <c r="D221" s="20"/>
      <c r="E221" s="20"/>
    </row>
    <row r="222" spans="2:5" ht="23.25" customHeight="1" x14ac:dyDescent="0.15">
      <c r="B222" s="20"/>
      <c r="C222" s="20"/>
      <c r="D222" s="20"/>
      <c r="E222" s="20"/>
    </row>
    <row r="223" spans="2:5" ht="23.25" customHeight="1" x14ac:dyDescent="0.15">
      <c r="B223" s="20"/>
      <c r="C223" s="20"/>
      <c r="D223" s="20"/>
      <c r="E223" s="20"/>
    </row>
    <row r="224" spans="2:5" ht="23.25" customHeight="1" x14ac:dyDescent="0.15">
      <c r="B224" s="20"/>
      <c r="C224" s="20"/>
      <c r="D224" s="20"/>
      <c r="E224" s="20"/>
    </row>
    <row r="225" spans="2:5" ht="23.25" customHeight="1" x14ac:dyDescent="0.15">
      <c r="B225" s="20"/>
      <c r="C225" s="20"/>
      <c r="D225" s="20"/>
      <c r="E225" s="20"/>
    </row>
    <row r="226" spans="2:5" ht="23.25" customHeight="1" x14ac:dyDescent="0.15">
      <c r="B226" s="20"/>
      <c r="C226" s="20"/>
      <c r="D226" s="20"/>
      <c r="E226" s="20"/>
    </row>
    <row r="227" spans="2:5" ht="23.25" customHeight="1" x14ac:dyDescent="0.15">
      <c r="B227" s="20"/>
      <c r="C227" s="20"/>
      <c r="D227" s="20"/>
      <c r="E227" s="20"/>
    </row>
    <row r="228" spans="2:5" ht="23.25" customHeight="1" x14ac:dyDescent="0.15">
      <c r="B228" s="20"/>
      <c r="C228" s="20"/>
      <c r="D228" s="20"/>
      <c r="E228" s="20"/>
    </row>
    <row r="229" spans="2:5" ht="23.25" customHeight="1" x14ac:dyDescent="0.15">
      <c r="B229" s="20"/>
      <c r="C229" s="20"/>
      <c r="D229" s="20"/>
      <c r="E229" s="20"/>
    </row>
    <row r="230" spans="2:5" ht="23.25" customHeight="1" x14ac:dyDescent="0.15">
      <c r="B230" s="20"/>
      <c r="C230" s="20"/>
      <c r="D230" s="20"/>
      <c r="E230" s="20"/>
    </row>
    <row r="231" spans="2:5" ht="23.25" customHeight="1" x14ac:dyDescent="0.15">
      <c r="B231" s="20"/>
      <c r="C231" s="20"/>
      <c r="D231" s="20"/>
      <c r="E231" s="20"/>
    </row>
    <row r="232" spans="2:5" ht="23.25" customHeight="1" x14ac:dyDescent="0.15">
      <c r="B232" s="20"/>
      <c r="C232" s="20"/>
      <c r="D232" s="20"/>
      <c r="E232" s="20"/>
    </row>
    <row r="233" spans="2:5" ht="23.25" customHeight="1" x14ac:dyDescent="0.15">
      <c r="B233" s="20"/>
      <c r="C233" s="20"/>
      <c r="D233" s="20"/>
      <c r="E233" s="20"/>
    </row>
    <row r="234" spans="2:5" ht="23.25" customHeight="1" x14ac:dyDescent="0.15">
      <c r="B234" s="20"/>
      <c r="C234" s="20"/>
      <c r="D234" s="20"/>
      <c r="E234" s="20"/>
    </row>
    <row r="235" spans="2:5" ht="23.25" customHeight="1" x14ac:dyDescent="0.15">
      <c r="B235" s="20"/>
      <c r="C235" s="20"/>
      <c r="D235" s="20"/>
      <c r="E235" s="20"/>
    </row>
    <row r="236" spans="2:5" ht="23.25" customHeight="1" x14ac:dyDescent="0.15">
      <c r="B236" s="20"/>
      <c r="C236" s="20"/>
      <c r="D236" s="20"/>
      <c r="E236" s="20"/>
    </row>
    <row r="237" spans="2:5" ht="23.25" customHeight="1" x14ac:dyDescent="0.15">
      <c r="B237" s="20"/>
      <c r="C237" s="20"/>
      <c r="D237" s="20"/>
      <c r="E237" s="20"/>
    </row>
    <row r="238" spans="2:5" ht="23.25" customHeight="1" x14ac:dyDescent="0.15">
      <c r="B238" s="20"/>
      <c r="C238" s="20"/>
      <c r="D238" s="20"/>
      <c r="E238" s="20"/>
    </row>
    <row r="239" spans="2:5" ht="23.25" customHeight="1" x14ac:dyDescent="0.15">
      <c r="B239" s="20"/>
      <c r="C239" s="20"/>
      <c r="D239" s="20"/>
      <c r="E239" s="20"/>
    </row>
    <row r="240" spans="2:5" ht="23.25" customHeight="1" x14ac:dyDescent="0.15">
      <c r="B240" s="20"/>
      <c r="C240" s="20"/>
      <c r="D240" s="20"/>
      <c r="E240" s="20"/>
    </row>
    <row r="241" spans="2:5" ht="23.25" customHeight="1" x14ac:dyDescent="0.15">
      <c r="B241" s="20"/>
      <c r="C241" s="20"/>
      <c r="D241" s="20"/>
      <c r="E241" s="20"/>
    </row>
    <row r="242" spans="2:5" ht="23.25" customHeight="1" x14ac:dyDescent="0.15">
      <c r="B242" s="20"/>
      <c r="C242" s="20"/>
      <c r="D242" s="20"/>
      <c r="E242" s="20"/>
    </row>
    <row r="243" spans="2:5" ht="23.25" customHeight="1" x14ac:dyDescent="0.15">
      <c r="B243" s="20"/>
      <c r="C243" s="20"/>
      <c r="D243" s="20"/>
      <c r="E243" s="20"/>
    </row>
    <row r="244" spans="2:5" ht="23.25" customHeight="1" x14ac:dyDescent="0.15">
      <c r="B244" s="20"/>
      <c r="C244" s="20"/>
      <c r="D244" s="20"/>
      <c r="E244" s="20"/>
    </row>
    <row r="245" spans="2:5" ht="23.25" customHeight="1" x14ac:dyDescent="0.15">
      <c r="B245" s="20"/>
      <c r="C245" s="20"/>
      <c r="D245" s="20"/>
      <c r="E245" s="20"/>
    </row>
    <row r="246" spans="2:5" ht="23.25" customHeight="1" x14ac:dyDescent="0.15">
      <c r="B246" s="20"/>
      <c r="C246" s="20"/>
      <c r="D246" s="20"/>
      <c r="E246" s="20"/>
    </row>
    <row r="247" spans="2:5" ht="23.25" customHeight="1" x14ac:dyDescent="0.15">
      <c r="B247" s="20"/>
      <c r="C247" s="20"/>
      <c r="D247" s="20"/>
      <c r="E247" s="20"/>
    </row>
    <row r="248" spans="2:5" ht="23.25" customHeight="1" x14ac:dyDescent="0.15">
      <c r="B248" s="20"/>
      <c r="C248" s="20"/>
      <c r="D248" s="20"/>
      <c r="E248" s="20"/>
    </row>
    <row r="249" spans="2:5" ht="23.25" customHeight="1" x14ac:dyDescent="0.15">
      <c r="B249" s="20"/>
      <c r="C249" s="20"/>
      <c r="D249" s="20"/>
      <c r="E249" s="20"/>
    </row>
    <row r="250" spans="2:5" ht="23.25" customHeight="1" x14ac:dyDescent="0.15">
      <c r="B250" s="20"/>
      <c r="C250" s="20"/>
      <c r="D250" s="20"/>
      <c r="E250" s="20"/>
    </row>
    <row r="251" spans="2:5" ht="23.25" customHeight="1" x14ac:dyDescent="0.15">
      <c r="B251" s="20"/>
      <c r="C251" s="20"/>
      <c r="D251" s="20"/>
      <c r="E251" s="20"/>
    </row>
    <row r="252" spans="2:5" ht="23.25" customHeight="1" x14ac:dyDescent="0.15">
      <c r="B252" s="20"/>
      <c r="C252" s="20"/>
      <c r="D252" s="20"/>
      <c r="E252" s="20"/>
    </row>
    <row r="253" spans="2:5" ht="23.25" customHeight="1" x14ac:dyDescent="0.15">
      <c r="B253" s="20"/>
      <c r="C253" s="20"/>
      <c r="D253" s="20"/>
      <c r="E253" s="20"/>
    </row>
    <row r="254" spans="2:5" ht="23.25" customHeight="1" x14ac:dyDescent="0.15">
      <c r="B254" s="20"/>
      <c r="C254" s="20"/>
      <c r="D254" s="20"/>
      <c r="E254" s="20"/>
    </row>
    <row r="255" spans="2:5" ht="23.25" customHeight="1" x14ac:dyDescent="0.15">
      <c r="B255" s="20"/>
      <c r="C255" s="20"/>
      <c r="D255" s="20"/>
      <c r="E255" s="20"/>
    </row>
    <row r="256" spans="2:5" ht="23.25" customHeight="1" x14ac:dyDescent="0.15">
      <c r="B256" s="20"/>
      <c r="C256" s="20"/>
      <c r="D256" s="20"/>
      <c r="E256" s="20"/>
    </row>
    <row r="257" spans="2:5" ht="23.25" customHeight="1" x14ac:dyDescent="0.15">
      <c r="B257" s="20"/>
      <c r="C257" s="20"/>
      <c r="D257" s="20"/>
      <c r="E257" s="20"/>
    </row>
    <row r="258" spans="2:5" ht="23.25" customHeight="1" x14ac:dyDescent="0.15">
      <c r="B258" s="20"/>
      <c r="C258" s="20"/>
      <c r="D258" s="20"/>
      <c r="E258" s="20"/>
    </row>
    <row r="259" spans="2:5" ht="23.25" customHeight="1" x14ac:dyDescent="0.15">
      <c r="B259" s="20"/>
      <c r="C259" s="20"/>
      <c r="D259" s="20"/>
      <c r="E259" s="20"/>
    </row>
  </sheetData>
  <dataConsolidate/>
  <phoneticPr fontId="3" type="noConversion"/>
  <printOptions horizontalCentered="1" verticalCentered="1"/>
  <pageMargins left="0.59055118110236227" right="0.59055118110236227" top="0" bottom="0.39370078740157483" header="0.51181102362204722" footer="0.51181102362204722"/>
  <pageSetup paperSize="9" scale="16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Anafi</vt:lpstr>
    </vt:vector>
  </TitlesOfParts>
  <Company>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U30748D</dc:creator>
  <cp:lastModifiedBy>Pascal QUIRY</cp:lastModifiedBy>
  <cp:lastPrinted>2019-09-24T19:04:54Z</cp:lastPrinted>
  <dcterms:created xsi:type="dcterms:W3CDTF">1999-09-23T15:29:24Z</dcterms:created>
  <dcterms:modified xsi:type="dcterms:W3CDTF">2019-11-22T10:30:36Z</dcterms:modified>
</cp:coreProperties>
</file>